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1600" windowHeight="9735" firstSheet="2" activeTab="5"/>
  </bookViews>
  <sheets>
    <sheet name="Prestaciones Sociales YECID " sheetId="1" r:id="rId1"/>
    <sheet name="PRESTACIONES SOCIALES AMANDA LÓ" sheetId="3" r:id="rId2"/>
    <sheet name="INDEMNIZACION FIJO" sheetId="4" r:id="rId3"/>
    <sheet name="INDEMNIZACION INDEFINIDO" sheetId="5" r:id="rId4"/>
    <sheet name=" INDEMNIZACION INDEF" sheetId="6" r:id="rId5"/>
    <sheet name="plantilla nomina" sheetId="7" r:id="rId6"/>
  </sheets>
  <calcPr calcId="125725"/>
</workbook>
</file>

<file path=xl/calcChain.xml><?xml version="1.0" encoding="utf-8"?>
<calcChain xmlns="http://schemas.openxmlformats.org/spreadsheetml/2006/main">
  <c r="AA15" i="7"/>
  <c r="W15"/>
  <c r="T15"/>
  <c r="R15"/>
  <c r="P15"/>
  <c r="N15"/>
  <c r="L15"/>
  <c r="J15"/>
  <c r="H15"/>
  <c r="G15"/>
  <c r="AA14"/>
  <c r="U14"/>
  <c r="S14"/>
  <c r="Q14"/>
  <c r="O14"/>
  <c r="M14"/>
  <c r="K14"/>
  <c r="V14" s="1"/>
  <c r="I14"/>
  <c r="D14"/>
  <c r="E14" s="1"/>
  <c r="AA13"/>
  <c r="U13"/>
  <c r="S13"/>
  <c r="Q13"/>
  <c r="O13"/>
  <c r="M13"/>
  <c r="K13"/>
  <c r="I13"/>
  <c r="V13" s="1"/>
  <c r="E13"/>
  <c r="X13" s="1"/>
  <c r="D13"/>
  <c r="F13" s="1"/>
  <c r="AA12"/>
  <c r="U12"/>
  <c r="S12"/>
  <c r="Q12"/>
  <c r="O12"/>
  <c r="M12"/>
  <c r="K12"/>
  <c r="V12" s="1"/>
  <c r="I12"/>
  <c r="F12"/>
  <c r="D12"/>
  <c r="E12" s="1"/>
  <c r="AA11"/>
  <c r="U11"/>
  <c r="S11"/>
  <c r="Q11"/>
  <c r="O11"/>
  <c r="M11"/>
  <c r="K11"/>
  <c r="I11"/>
  <c r="V11" s="1"/>
  <c r="E11"/>
  <c r="X11" s="1"/>
  <c r="D11"/>
  <c r="F11" s="1"/>
  <c r="AA10"/>
  <c r="U10"/>
  <c r="S10"/>
  <c r="Q10"/>
  <c r="O10"/>
  <c r="M10"/>
  <c r="K10"/>
  <c r="V10" s="1"/>
  <c r="I10"/>
  <c r="F10"/>
  <c r="D10"/>
  <c r="E10" s="1"/>
  <c r="U9"/>
  <c r="U15" s="1"/>
  <c r="S9"/>
  <c r="Q9"/>
  <c r="Q15" s="1"/>
  <c r="O9"/>
  <c r="M9"/>
  <c r="M15" s="1"/>
  <c r="K9"/>
  <c r="I9"/>
  <c r="V9" s="1"/>
  <c r="F9"/>
  <c r="E9"/>
  <c r="X9" s="1"/>
  <c r="D9"/>
  <c r="U8"/>
  <c r="S8"/>
  <c r="S15" s="1"/>
  <c r="Q8"/>
  <c r="O8"/>
  <c r="O15" s="1"/>
  <c r="M8"/>
  <c r="K8"/>
  <c r="K15" s="1"/>
  <c r="I8"/>
  <c r="F8"/>
  <c r="D8"/>
  <c r="D15" s="1"/>
  <c r="AA9" l="1"/>
  <c r="Y9"/>
  <c r="Z9"/>
  <c r="Y11"/>
  <c r="AF11" s="1"/>
  <c r="AG11" s="1"/>
  <c r="Z11"/>
  <c r="Y13"/>
  <c r="Z13"/>
  <c r="X10"/>
  <c r="X12"/>
  <c r="V8"/>
  <c r="V15" s="1"/>
  <c r="F14"/>
  <c r="F15" s="1"/>
  <c r="I15"/>
  <c r="E8"/>
  <c r="X8" l="1"/>
  <c r="E15"/>
  <c r="X14"/>
  <c r="Z10"/>
  <c r="Y10"/>
  <c r="AF10" s="1"/>
  <c r="AG10" s="1"/>
  <c r="Z12"/>
  <c r="AG12"/>
  <c r="Y12"/>
  <c r="AF12" s="1"/>
  <c r="AF13"/>
  <c r="AG13" s="1"/>
  <c r="AF9"/>
  <c r="AG9" s="1"/>
  <c r="Z14" l="1"/>
  <c r="AG14"/>
  <c r="Y14"/>
  <c r="AF14" s="1"/>
  <c r="X15"/>
  <c r="Z8"/>
  <c r="AA8"/>
  <c r="Y8"/>
  <c r="AF8" s="1"/>
  <c r="AF15" s="1"/>
  <c r="AG8" l="1"/>
  <c r="X16"/>
  <c r="Z15"/>
  <c r="AG15"/>
  <c r="Y15"/>
  <c r="T21" l="1"/>
  <c r="C21"/>
  <c r="J20"/>
  <c r="T19"/>
  <c r="R23" s="1"/>
  <c r="C19"/>
  <c r="Z16"/>
  <c r="T22"/>
  <c r="J21"/>
  <c r="T20"/>
  <c r="C20"/>
  <c r="J19"/>
  <c r="Y16"/>
  <c r="AG16"/>
  <c r="H22" l="1"/>
  <c r="B22"/>
  <c r="C9" i="6" l="1"/>
  <c r="C10" s="1"/>
  <c r="C11" s="1"/>
  <c r="C12" s="1"/>
  <c r="C8" i="5"/>
  <c r="C9" s="1"/>
  <c r="C10" s="1"/>
  <c r="C11" s="1"/>
  <c r="C9" i="4"/>
  <c r="C10" s="1"/>
  <c r="C11" s="1"/>
  <c r="E40" i="3"/>
  <c r="E39"/>
  <c r="J39" s="1"/>
  <c r="J42" s="1"/>
  <c r="C24"/>
  <c r="C25" s="1"/>
  <c r="C27" s="1"/>
  <c r="E30" s="1"/>
  <c r="J19"/>
  <c r="C19"/>
  <c r="C20" s="1"/>
  <c r="G33" s="1"/>
  <c r="C14"/>
  <c r="J41"/>
  <c r="J40"/>
  <c r="E36"/>
  <c r="C36"/>
  <c r="J24"/>
  <c r="J23"/>
  <c r="J25" s="1"/>
  <c r="G35" s="1"/>
  <c r="J20"/>
  <c r="G31" s="1"/>
  <c r="J14"/>
  <c r="J15" s="1"/>
  <c r="C31" s="1"/>
  <c r="E38" i="1"/>
  <c r="C38"/>
  <c r="J38" s="1"/>
  <c r="E42"/>
  <c r="E41"/>
  <c r="J41"/>
  <c r="B45" i="3"/>
  <c r="J31" l="1"/>
  <c r="C32" s="1"/>
  <c r="C30"/>
  <c r="J30" s="1"/>
  <c r="C33"/>
  <c r="C34" s="1"/>
  <c r="J44"/>
  <c r="J36"/>
  <c r="G32"/>
  <c r="G34"/>
  <c r="J34" s="1"/>
  <c r="J33"/>
  <c r="J25" i="1"/>
  <c r="C35" i="3" l="1"/>
  <c r="J35" s="1"/>
  <c r="C26" i="1" l="1"/>
  <c r="C27" s="1"/>
  <c r="C21"/>
  <c r="N20" l="1"/>
  <c r="O20"/>
  <c r="P20"/>
  <c r="M20"/>
  <c r="N19"/>
  <c r="O19"/>
  <c r="P19"/>
  <c r="M19"/>
  <c r="P21" l="1"/>
  <c r="J15" s="1"/>
  <c r="J21" l="1"/>
  <c r="J26" s="1"/>
  <c r="J27" s="1"/>
  <c r="G37" s="1"/>
  <c r="C29"/>
  <c r="E32" s="1"/>
  <c r="J43"/>
  <c r="C22"/>
  <c r="G35" s="1"/>
  <c r="J16"/>
  <c r="C15"/>
  <c r="C32" l="1"/>
  <c r="J22"/>
  <c r="J32"/>
  <c r="J42"/>
  <c r="C33"/>
  <c r="C35"/>
  <c r="G34" l="1"/>
  <c r="J35"/>
  <c r="C36"/>
  <c r="G33"/>
  <c r="J33" s="1"/>
  <c r="G36"/>
  <c r="J44"/>
  <c r="J46" s="1"/>
  <c r="J36" l="1"/>
  <c r="C37" s="1"/>
  <c r="J37" s="1"/>
  <c r="J32" i="3" s="1"/>
  <c r="J37" s="1"/>
  <c r="C34" i="1"/>
  <c r="J34" s="1"/>
  <c r="J39" l="1"/>
  <c r="L41" s="1"/>
  <c r="B47"/>
</calcChain>
</file>

<file path=xl/sharedStrings.xml><?xml version="1.0" encoding="utf-8"?>
<sst xmlns="http://schemas.openxmlformats.org/spreadsheetml/2006/main" count="283" uniqueCount="161">
  <si>
    <t>LIQUIDACION DE CONTRATO DE TRABAJO A TERMINO FIJO</t>
  </si>
  <si>
    <t>C.C.:</t>
  </si>
  <si>
    <t>CARGO:</t>
  </si>
  <si>
    <t>CAUSA DE LA LIQUIDACION:</t>
  </si>
  <si>
    <t>MES</t>
  </si>
  <si>
    <t>COMISIONES</t>
  </si>
  <si>
    <t>H.EXTRAS</t>
  </si>
  <si>
    <t>DOM Y FEST</t>
  </si>
  <si>
    <t>REC.NOCT.</t>
  </si>
  <si>
    <t>ENERO</t>
  </si>
  <si>
    <t>PERIODO DE LIQUIDACION</t>
  </si>
  <si>
    <t>SALARIO BASE DE LIQUIDACION:</t>
  </si>
  <si>
    <t>FEBRERO</t>
  </si>
  <si>
    <t>FECHA TERMINACION DE CONTRATO</t>
  </si>
  <si>
    <t>SUELDO BASICO:</t>
  </si>
  <si>
    <t>MARZO</t>
  </si>
  <si>
    <t>FECHA DE INICIO CONTRATO</t>
  </si>
  <si>
    <t>AUXILIO DE TRANSPORTE:</t>
  </si>
  <si>
    <t>ABRIL</t>
  </si>
  <si>
    <t>TIEMPO TOTAL LABORADO</t>
  </si>
  <si>
    <t>PROMEDIO SALARIO VARIABLE</t>
  </si>
  <si>
    <t>MAYO</t>
  </si>
  <si>
    <t>TOTAL BASE DE LIQUIDACION:</t>
  </si>
  <si>
    <t>JUNIO</t>
  </si>
  <si>
    <t>JULIO</t>
  </si>
  <si>
    <t>AGOSTO</t>
  </si>
  <si>
    <t>PRIMA</t>
  </si>
  <si>
    <t>CESANTIAS</t>
  </si>
  <si>
    <t>SEPTIEMBRE</t>
  </si>
  <si>
    <t>FECHA DE LIQUIDACION PRIMA</t>
  </si>
  <si>
    <t>FECHA DE LIQUIDACION CESANTIAS</t>
  </si>
  <si>
    <t>OCTUBRE</t>
  </si>
  <si>
    <t>FECHA DE CORTE PRIMA</t>
  </si>
  <si>
    <t>FECHA DE CORTE CESANTIAS</t>
  </si>
  <si>
    <t>NOVIEMBRE</t>
  </si>
  <si>
    <t>DIAS PRIMA</t>
  </si>
  <si>
    <t>DIAS CESANTIAS</t>
  </si>
  <si>
    <t>DICIEMBRE</t>
  </si>
  <si>
    <t>VACACIONES</t>
  </si>
  <si>
    <t>INTERESES A LAS CESANTIAS</t>
  </si>
  <si>
    <t>FECHA DE LIQUIDACION VACACIONES</t>
  </si>
  <si>
    <t>FECHA DE LIQUIDACION INTERESES</t>
  </si>
  <si>
    <t>FECHA DE CORTE VACACIONES</t>
  </si>
  <si>
    <t>FECHA DE CORTE INTERESES</t>
  </si>
  <si>
    <t>TOTAL DIAS DE VACIONES</t>
  </si>
  <si>
    <t>DIAS INTERESES</t>
  </si>
  <si>
    <t>DIAS TOMADOS DE VACACIONES</t>
  </si>
  <si>
    <t>DIAS PENDIENTES</t>
  </si>
  <si>
    <t>RESUMEN LIQUIDACION PAGOS:</t>
  </si>
  <si>
    <t>/</t>
  </si>
  <si>
    <t xml:space="preserve">CESANTIAS:  </t>
  </si>
  <si>
    <t>x</t>
  </si>
  <si>
    <t xml:space="preserve"> </t>
  </si>
  <si>
    <t>INTERESES DE CESANTIAS</t>
  </si>
  <si>
    <t xml:space="preserve">X </t>
  </si>
  <si>
    <t>PRIMA SERVICIOS</t>
  </si>
  <si>
    <t>TOTAL DEVENGOS</t>
  </si>
  <si>
    <t>RESUMEN DESCUENTOS LIQUIDACION :</t>
  </si>
  <si>
    <t>SALUD:</t>
  </si>
  <si>
    <t xml:space="preserve">PENSION:  </t>
  </si>
  <si>
    <t>PRESTAMOS O ANTICIPOS:</t>
  </si>
  <si>
    <t>TOTAL DEDUCCIONES</t>
  </si>
  <si>
    <t xml:space="preserve">VALOR LIQUIDACION </t>
  </si>
  <si>
    <t>SE HACE CONSTAR:</t>
  </si>
  <si>
    <t>1. Que el patrono ha incorporado en la presente liquidación los importes correspondientes a salarios, horas extras, descansos compensatorios, cesantías, vacaciones, prima de servicios, auxilio de transporte, y en sí, todo concepto   relacionado con salarios, prestaciones o indemnizaciones causadas al quedar extinguido el contrato de trabajo.</t>
  </si>
  <si>
    <t>EL EMPLEADOR</t>
  </si>
  <si>
    <t>EL EMPLEADO</t>
  </si>
  <si>
    <t>C.C.</t>
  </si>
  <si>
    <t>NOMBRE DEL EMPLEADO:</t>
  </si>
  <si>
    <t>CONTRATO A TERMINO INDEFINIDO</t>
  </si>
  <si>
    <t>CONTRATO A TERMINO FIJO</t>
  </si>
  <si>
    <t>Art. 64 del C.S.T.</t>
  </si>
  <si>
    <t>1. Cuando el trabajador devenga MENOS de 10 SMMLV</t>
  </si>
  <si>
    <t>2. Cuando el trabajador devenga MAS de  10 SMMLV</t>
  </si>
  <si>
    <t>DETALLE</t>
  </si>
  <si>
    <t>DATOS</t>
  </si>
  <si>
    <t>SALARIO BASE</t>
  </si>
  <si>
    <t>FECHA INICIO DE CONTRATO</t>
  </si>
  <si>
    <t>FECHA DE INGRESO</t>
  </si>
  <si>
    <t>FECHA FIN DE CONTRATO</t>
  </si>
  <si>
    <t>FECHA DE RETIRO</t>
  </si>
  <si>
    <t>TIEMPO TRABAJADO</t>
  </si>
  <si>
    <t>TIEMPO CONTRATADO</t>
  </si>
  <si>
    <t>DIAS  A PAGAR</t>
  </si>
  <si>
    <t>DIAS  A PAGAR POR INDEMNIZACION</t>
  </si>
  <si>
    <t>DIAS  QUE FALTAN PARA EL CONTRATO</t>
  </si>
  <si>
    <t>TOTAL</t>
  </si>
  <si>
    <t>PROMEDIO</t>
  </si>
  <si>
    <r>
      <t xml:space="preserve">2. Que con el pago del dinero anotado en la presente liquidación, queda transada cualquier diferencia relativa al contrato de trabajo extinguido, o a cualquier diferencia anterior. Por lo tanto, esta transacción tiene como efecto la terminaciónde las obligaciones provenientes de la relación laboral que existió entre </t>
    </r>
    <r>
      <rPr>
        <b/>
        <sz val="10"/>
        <rFont val="Tahoma"/>
        <family val="2"/>
      </rPr>
      <t xml:space="preserve">EL EJEMPLO S.A </t>
    </r>
    <r>
      <rPr>
        <sz val="10"/>
        <rFont val="Tahoma"/>
        <family val="2"/>
      </rPr>
      <t>y el trabajador, quienes declaran estar a paz y salvo por todo concepto.</t>
    </r>
  </si>
  <si>
    <t>VACACIONES PENDIENTES:</t>
  </si>
  <si>
    <t>SALARIO PROMEDIO</t>
  </si>
  <si>
    <t>=</t>
  </si>
  <si>
    <t>INDEMNIZACIÓN</t>
  </si>
  <si>
    <t>VALOR DE LA INDEMNIZACIÓN</t>
  </si>
  <si>
    <t xml:space="preserve">NIT. </t>
  </si>
  <si>
    <t xml:space="preserve"> YERIPAN</t>
  </si>
  <si>
    <t>NIT.2673313</t>
  </si>
  <si>
    <t>Yecid Cortez Quintero</t>
  </si>
  <si>
    <t xml:space="preserve">PANADERO </t>
  </si>
  <si>
    <t xml:space="preserve">DESPIDO </t>
  </si>
  <si>
    <t>+</t>
  </si>
  <si>
    <t>*</t>
  </si>
  <si>
    <t xml:space="preserve">INDEMNIZACION DIAS TRABAJADOS </t>
  </si>
  <si>
    <t>AMANDA LÓPEZ</t>
  </si>
  <si>
    <t xml:space="preserve">ADMINISTRADORA </t>
  </si>
  <si>
    <t>EMPRESA</t>
  </si>
  <si>
    <t>HORAS LABOR. X TRABAJ. X DIA</t>
  </si>
  <si>
    <t>SMLMV</t>
  </si>
  <si>
    <t>NIT:</t>
  </si>
  <si>
    <t>HORAS LABOR. X TRABAJ. MENS.</t>
  </si>
  <si>
    <t>AUX. TRANSP. MENSUAL</t>
  </si>
  <si>
    <t>PERIODO NOMINA</t>
  </si>
  <si>
    <t>NOMBRE DEL EMPLEADO</t>
  </si>
  <si>
    <t>DEVENGADO</t>
  </si>
  <si>
    <t>DEDUCCIONES</t>
  </si>
  <si>
    <t>SUELDO BASICO</t>
  </si>
  <si>
    <t>DIAS W</t>
  </si>
  <si>
    <t>HORAS LAB. MES</t>
  </si>
  <si>
    <t>SALARIO</t>
  </si>
  <si>
    <t>AUXILIO DE TRANSPORTE</t>
  </si>
  <si>
    <t>Nº</t>
  </si>
  <si>
    <t>HED</t>
  </si>
  <si>
    <t>HEN</t>
  </si>
  <si>
    <t>RN</t>
  </si>
  <si>
    <t>HOD/F</t>
  </si>
  <si>
    <t>HED/FD</t>
  </si>
  <si>
    <t>HED/FN</t>
  </si>
  <si>
    <t>RND/F</t>
  </si>
  <si>
    <t>HORAS EXTRAS</t>
  </si>
  <si>
    <t>OTROS</t>
  </si>
  <si>
    <t>TOTAL DEVENGADO</t>
  </si>
  <si>
    <t>SALUD 4%</t>
  </si>
  <si>
    <t>PENSION 4%</t>
  </si>
  <si>
    <t>FONDO SOLIDARID.</t>
  </si>
  <si>
    <t>SINDICATO</t>
  </si>
  <si>
    <t>COOPERATIVA</t>
  </si>
  <si>
    <t>PRESTAMO</t>
  </si>
  <si>
    <t>VALOR NETO A PAGAR</t>
  </si>
  <si>
    <t>Arroyabe Marin Estelala Blanca</t>
  </si>
  <si>
    <t>Fancisco Perez Galvis</t>
  </si>
  <si>
    <t xml:space="preserve">Amanda Lopez Hoyos </t>
  </si>
  <si>
    <t>Gladis Marin Criollo</t>
  </si>
  <si>
    <t xml:space="preserve">Nubia Isabel Giraldo </t>
  </si>
  <si>
    <t xml:space="preserve">Sandra Milena Gil Arango </t>
  </si>
  <si>
    <t xml:space="preserve">Rico Marco Tulio </t>
  </si>
  <si>
    <t>Total devengado suma</t>
  </si>
  <si>
    <t>TOTAL NOMINA</t>
  </si>
  <si>
    <t>APORTES PARAFISCALES</t>
  </si>
  <si>
    <t>APORTES SEGURIDAD SOCIAL</t>
  </si>
  <si>
    <t>PRESTACIONES SOCIALES</t>
  </si>
  <si>
    <t>HORAS</t>
  </si>
  <si>
    <t>SENA</t>
  </si>
  <si>
    <t xml:space="preserve">SALUD </t>
  </si>
  <si>
    <t>CESANTIAS 8,33333%</t>
  </si>
  <si>
    <t xml:space="preserve">ICBF </t>
  </si>
  <si>
    <t xml:space="preserve">PENSION </t>
  </si>
  <si>
    <t>INTERES. CESANTIAS 1%</t>
  </si>
  <si>
    <t>CAJA COMP. FAMILIAR</t>
  </si>
  <si>
    <t>ARL</t>
  </si>
  <si>
    <t>PRIMA SERVICIOS 8,33333%</t>
  </si>
  <si>
    <t>VACACIONES 4,17%</t>
  </si>
</sst>
</file>

<file path=xl/styles.xml><?xml version="1.0" encoding="utf-8"?>
<styleSheet xmlns="http://schemas.openxmlformats.org/spreadsheetml/2006/main">
  <numFmts count="1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General_)"/>
    <numFmt numFmtId="165" formatCode="_-* #,##0\ _P_t_s_-;\-* #,##0\ _P_t_s_-;_-* &quot;-&quot;??\ _P_t_s_-;_-@_-"/>
    <numFmt numFmtId="166" formatCode="&quot;$&quot;\ #,##0"/>
    <numFmt numFmtId="167" formatCode="_ [$$-240A]\ * #,##0_ ;_ [$$-240A]\ * \-#,##0_ ;_ [$$-240A]\ * &quot;-&quot;_ ;_ @_ "/>
    <numFmt numFmtId="168" formatCode="_ &quot;$&quot;\ * #,##0_ ;_ &quot;$&quot;\ * \-#,##0_ ;_ &quot;$&quot;\ * &quot;-&quot;_ ;_ @_ "/>
    <numFmt numFmtId="169" formatCode="&quot;$&quot;#,##0"/>
    <numFmt numFmtId="170" formatCode="0.000%"/>
    <numFmt numFmtId="171" formatCode="_(* #,##0_);_(* \(#,##0\);_(* &quot;-&quot;??_);_(@_)"/>
    <numFmt numFmtId="172" formatCode="_(&quot;$&quot;\ * #,##0_);_(&quot;$&quot;\ * \(#,##0\);_(&quot;$&quot;\ * &quot;-&quot;??_);_(@_)"/>
    <numFmt numFmtId="173" formatCode="#,##0.0"/>
    <numFmt numFmtId="174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b/>
      <sz val="11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10"/>
      <color indexed="10"/>
      <name val="Tahoma"/>
      <family val="2"/>
    </font>
    <font>
      <sz val="10"/>
      <color indexed="63"/>
      <name val="Tahoma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1"/>
      <name val="Comic Sans MS"/>
      <family val="4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889DB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4" fontId="4" fillId="0" borderId="0"/>
    <xf numFmtId="9" fontId="7" fillId="0" borderId="0" applyFont="0" applyFill="0" applyBorder="0" applyAlignment="0" applyProtection="0"/>
  </cellStyleXfs>
  <cellXfs count="343">
    <xf numFmtId="0" fontId="0" fillId="0" borderId="0" xfId="0"/>
    <xf numFmtId="15" fontId="5" fillId="0" borderId="0" xfId="4" applyNumberFormat="1" applyFont="1" applyAlignment="1"/>
    <xf numFmtId="164" fontId="6" fillId="0" borderId="0" xfId="4" applyNumberFormat="1" applyFont="1"/>
    <xf numFmtId="165" fontId="6" fillId="0" borderId="0" xfId="5" applyNumberFormat="1" applyFont="1" applyAlignment="1">
      <alignment horizontal="center"/>
    </xf>
    <xf numFmtId="164" fontId="8" fillId="0" borderId="0" xfId="4" applyNumberFormat="1" applyFont="1" applyBorder="1"/>
    <xf numFmtId="164" fontId="6" fillId="0" borderId="0" xfId="4" applyNumberFormat="1" applyFont="1" applyBorder="1"/>
    <xf numFmtId="164" fontId="6" fillId="0" borderId="5" xfId="4" applyNumberFormat="1" applyFont="1" applyBorder="1"/>
    <xf numFmtId="164" fontId="6" fillId="0" borderId="7" xfId="4" applyNumberFormat="1" applyFont="1" applyBorder="1"/>
    <xf numFmtId="164" fontId="6" fillId="0" borderId="8" xfId="4" applyNumberFormat="1" applyFont="1" applyBorder="1"/>
    <xf numFmtId="3" fontId="6" fillId="0" borderId="9" xfId="5" applyNumberFormat="1" applyFont="1" applyFill="1" applyBorder="1" applyAlignment="1">
      <alignment horizontal="right"/>
    </xf>
    <xf numFmtId="3" fontId="6" fillId="0" borderId="9" xfId="4" applyNumberFormat="1" applyFont="1" applyFill="1" applyBorder="1" applyAlignment="1">
      <alignment horizontal="right"/>
    </xf>
    <xf numFmtId="15" fontId="6" fillId="0" borderId="0" xfId="4" applyNumberFormat="1" applyFont="1" applyBorder="1" applyAlignment="1">
      <alignment horizontal="right"/>
    </xf>
    <xf numFmtId="164" fontId="6" fillId="0" borderId="4" xfId="4" applyNumberFormat="1" applyFont="1" applyBorder="1"/>
    <xf numFmtId="166" fontId="6" fillId="0" borderId="0" xfId="4" applyNumberFormat="1" applyFont="1" applyBorder="1"/>
    <xf numFmtId="166" fontId="6" fillId="0" borderId="0" xfId="4" applyNumberFormat="1" applyFont="1" applyBorder="1" applyAlignment="1">
      <alignment horizontal="right"/>
    </xf>
    <xf numFmtId="167" fontId="6" fillId="0" borderId="5" xfId="4" applyNumberFormat="1" applyFont="1" applyBorder="1" applyAlignment="1">
      <alignment horizontal="right"/>
    </xf>
    <xf numFmtId="164" fontId="8" fillId="0" borderId="4" xfId="4" applyNumberFormat="1" applyFont="1" applyBorder="1" applyAlignment="1">
      <alignment vertical="justify" wrapText="1"/>
    </xf>
    <xf numFmtId="164" fontId="8" fillId="0" borderId="4" xfId="4" applyNumberFormat="1" applyFont="1" applyBorder="1"/>
    <xf numFmtId="164" fontId="8" fillId="0" borderId="7" xfId="4" applyNumberFormat="1" applyFont="1" applyBorder="1" applyAlignment="1">
      <alignment horizontal="right"/>
    </xf>
    <xf numFmtId="164" fontId="9" fillId="2" borderId="11" xfId="4" applyNumberFormat="1" applyFont="1" applyFill="1" applyBorder="1" applyAlignment="1">
      <alignment horizontal="left"/>
    </xf>
    <xf numFmtId="15" fontId="6" fillId="0" borderId="5" xfId="4" applyNumberFormat="1" applyFont="1" applyFill="1" applyBorder="1" applyAlignment="1">
      <alignment horizontal="right"/>
    </xf>
    <xf numFmtId="15" fontId="6" fillId="0" borderId="5" xfId="4" applyNumberFormat="1" applyFont="1" applyBorder="1" applyAlignment="1">
      <alignment horizontal="right"/>
    </xf>
    <xf numFmtId="3" fontId="6" fillId="0" borderId="0" xfId="5" applyNumberFormat="1" applyFont="1" applyFill="1" applyAlignment="1">
      <alignment horizontal="right"/>
    </xf>
    <xf numFmtId="166" fontId="6" fillId="0" borderId="0" xfId="4" applyNumberFormat="1" applyFont="1" applyFill="1" applyAlignment="1">
      <alignment horizontal="right"/>
    </xf>
    <xf numFmtId="164" fontId="6" fillId="0" borderId="0" xfId="4" applyNumberFormat="1" applyFont="1" applyFill="1"/>
    <xf numFmtId="164" fontId="6" fillId="0" borderId="12" xfId="4" applyNumberFormat="1" applyFont="1" applyBorder="1" applyAlignment="1">
      <alignment horizontal="right"/>
    </xf>
    <xf numFmtId="44" fontId="6" fillId="0" borderId="0" xfId="2" applyFont="1" applyBorder="1" applyAlignment="1">
      <alignment horizontal="right"/>
    </xf>
    <xf numFmtId="4" fontId="6" fillId="0" borderId="0" xfId="4" applyNumberFormat="1" applyFont="1" applyBorder="1" applyAlignment="1">
      <alignment horizontal="right"/>
    </xf>
    <xf numFmtId="164" fontId="6" fillId="0" borderId="0" xfId="4" applyNumberFormat="1" applyFont="1" applyBorder="1" applyAlignment="1">
      <alignment horizontal="center"/>
    </xf>
    <xf numFmtId="169" fontId="6" fillId="0" borderId="0" xfId="4" applyNumberFormat="1" applyFont="1" applyBorder="1"/>
    <xf numFmtId="168" fontId="6" fillId="0" borderId="0" xfId="4" applyNumberFormat="1" applyFont="1" applyBorder="1"/>
    <xf numFmtId="3" fontId="6" fillId="0" borderId="0" xfId="4" applyNumberFormat="1" applyFont="1"/>
    <xf numFmtId="3" fontId="6" fillId="0" borderId="0" xfId="4" applyNumberFormat="1" applyFont="1" applyBorder="1"/>
    <xf numFmtId="164" fontId="8" fillId="0" borderId="0" xfId="4" applyNumberFormat="1" applyFont="1" applyBorder="1" applyAlignment="1">
      <alignment horizontal="left"/>
    </xf>
    <xf numFmtId="167" fontId="8" fillId="0" borderId="5" xfId="4" applyNumberFormat="1" applyFont="1" applyBorder="1"/>
    <xf numFmtId="164" fontId="8" fillId="0" borderId="2" xfId="4" applyNumberFormat="1" applyFont="1" applyBorder="1" applyAlignment="1">
      <alignment horizontal="left"/>
    </xf>
    <xf numFmtId="164" fontId="6" fillId="0" borderId="0" xfId="4" applyNumberFormat="1" applyFont="1" applyAlignment="1">
      <alignment horizontal="left"/>
    </xf>
    <xf numFmtId="3" fontId="6" fillId="0" borderId="17" xfId="4" applyNumberFormat="1" applyFont="1" applyBorder="1"/>
    <xf numFmtId="164" fontId="6" fillId="0" borderId="18" xfId="4" applyNumberFormat="1" applyFont="1" applyBorder="1"/>
    <xf numFmtId="164" fontId="6" fillId="0" borderId="19" xfId="4" applyNumberFormat="1" applyFont="1" applyBorder="1"/>
    <xf numFmtId="164" fontId="6" fillId="0" borderId="6" xfId="4" applyNumberFormat="1" applyFont="1" applyBorder="1"/>
    <xf numFmtId="164" fontId="6" fillId="0" borderId="7" xfId="4" applyNumberFormat="1" applyFont="1" applyBorder="1" applyAlignment="1">
      <alignment horizontal="center"/>
    </xf>
    <xf numFmtId="164" fontId="10" fillId="0" borderId="7" xfId="4" applyNumberFormat="1" applyFont="1" applyBorder="1" applyAlignment="1">
      <alignment horizontal="right"/>
    </xf>
    <xf numFmtId="166" fontId="6" fillId="0" borderId="7" xfId="0" applyNumberFormat="1" applyFont="1" applyBorder="1"/>
    <xf numFmtId="169" fontId="10" fillId="0" borderId="0" xfId="4" applyNumberFormat="1" applyFont="1" applyBorder="1" applyAlignment="1">
      <alignment horizontal="right"/>
    </xf>
    <xf numFmtId="164" fontId="6" fillId="0" borderId="0" xfId="4" applyNumberFormat="1" applyFont="1" applyAlignment="1">
      <alignment horizontal="center"/>
    </xf>
    <xf numFmtId="164" fontId="10" fillId="0" borderId="0" xfId="4" applyNumberFormat="1" applyFont="1" applyAlignment="1">
      <alignment horizontal="right"/>
    </xf>
    <xf numFmtId="168" fontId="6" fillId="0" borderId="0" xfId="4" applyNumberFormat="1" applyFont="1"/>
    <xf numFmtId="169" fontId="6" fillId="0" borderId="0" xfId="4" applyNumberFormat="1" applyFont="1"/>
    <xf numFmtId="169" fontId="6" fillId="0" borderId="0" xfId="4" applyNumberFormat="1" applyFont="1" applyBorder="1" applyAlignment="1">
      <alignment horizontal="right"/>
    </xf>
    <xf numFmtId="164" fontId="6" fillId="0" borderId="0" xfId="4" applyNumberFormat="1" applyFont="1" applyAlignment="1">
      <alignment horizontal="right"/>
    </xf>
    <xf numFmtId="164" fontId="8" fillId="0" borderId="0" xfId="4" applyNumberFormat="1" applyFont="1"/>
    <xf numFmtId="169" fontId="10" fillId="0" borderId="0" xfId="4" applyNumberFormat="1" applyFont="1" applyAlignment="1">
      <alignment horizontal="right"/>
    </xf>
    <xf numFmtId="169" fontId="10" fillId="0" borderId="0" xfId="4" applyNumberFormat="1" applyFont="1" applyBorder="1"/>
    <xf numFmtId="3" fontId="8" fillId="0" borderId="0" xfId="4" applyNumberFormat="1" applyFont="1"/>
    <xf numFmtId="166" fontId="6" fillId="0" borderId="0" xfId="4" applyNumberFormat="1" applyFont="1" applyAlignment="1">
      <alignment horizontal="right"/>
    </xf>
    <xf numFmtId="166" fontId="10" fillId="0" borderId="0" xfId="4" applyNumberFormat="1" applyFont="1" applyAlignment="1">
      <alignment horizontal="right"/>
    </xf>
    <xf numFmtId="9" fontId="6" fillId="0" borderId="0" xfId="4" applyNumberFormat="1" applyFont="1" applyAlignment="1">
      <alignment horizontal="left"/>
    </xf>
    <xf numFmtId="170" fontId="6" fillId="0" borderId="0" xfId="4" applyNumberFormat="1" applyFont="1" applyAlignment="1">
      <alignment horizontal="left"/>
    </xf>
    <xf numFmtId="166" fontId="6" fillId="0" borderId="0" xfId="0" applyNumberFormat="1" applyFont="1"/>
    <xf numFmtId="169" fontId="11" fillId="0" borderId="0" xfId="4" applyNumberFormat="1" applyFont="1"/>
    <xf numFmtId="169" fontId="10" fillId="0" borderId="0" xfId="4" applyNumberFormat="1" applyFont="1"/>
    <xf numFmtId="0" fontId="2" fillId="3" borderId="9" xfId="0" applyFont="1" applyFill="1" applyBorder="1" applyAlignment="1" applyProtection="1">
      <alignment horizontal="center"/>
    </xf>
    <xf numFmtId="0" fontId="2" fillId="3" borderId="23" xfId="0" applyFont="1" applyFill="1" applyBorder="1" applyAlignment="1" applyProtection="1">
      <alignment horizontal="center"/>
    </xf>
    <xf numFmtId="0" fontId="15" fillId="3" borderId="23" xfId="0" applyFont="1" applyFill="1" applyBorder="1" applyAlignment="1" applyProtection="1">
      <alignment horizontal="center"/>
    </xf>
    <xf numFmtId="0" fontId="3" fillId="5" borderId="9" xfId="0" applyFont="1" applyFill="1" applyBorder="1" applyProtection="1"/>
    <xf numFmtId="172" fontId="12" fillId="6" borderId="9" xfId="2" applyNumberFormat="1" applyFont="1" applyFill="1" applyBorder="1" applyProtection="1">
      <protection locked="0"/>
    </xf>
    <xf numFmtId="14" fontId="12" fillId="6" borderId="9" xfId="0" applyNumberFormat="1" applyFont="1" applyFill="1" applyBorder="1" applyProtection="1">
      <protection locked="0"/>
    </xf>
    <xf numFmtId="1" fontId="16" fillId="7" borderId="9" xfId="0" applyNumberFormat="1" applyFont="1" applyFill="1" applyBorder="1" applyProtection="1"/>
    <xf numFmtId="171" fontId="16" fillId="7" borderId="9" xfId="1" applyNumberFormat="1" applyFont="1" applyFill="1" applyBorder="1" applyProtection="1"/>
    <xf numFmtId="172" fontId="16" fillId="7" borderId="9" xfId="2" applyNumberFormat="1" applyFont="1" applyFill="1" applyBorder="1" applyProtection="1"/>
    <xf numFmtId="3" fontId="6" fillId="0" borderId="32" xfId="5" applyNumberFormat="1" applyFont="1" applyFill="1" applyBorder="1" applyAlignment="1">
      <alignment horizontal="right"/>
    </xf>
    <xf numFmtId="3" fontId="6" fillId="0" borderId="23" xfId="5" applyNumberFormat="1" applyFont="1" applyFill="1" applyBorder="1" applyAlignment="1">
      <alignment horizontal="right"/>
    </xf>
    <xf numFmtId="3" fontId="6" fillId="0" borderId="23" xfId="4" applyNumberFormat="1" applyFont="1" applyFill="1" applyBorder="1"/>
    <xf numFmtId="3" fontId="6" fillId="0" borderId="36" xfId="4" applyNumberFormat="1" applyFont="1" applyFill="1" applyBorder="1"/>
    <xf numFmtId="3" fontId="6" fillId="0" borderId="30" xfId="4" applyNumberFormat="1" applyFont="1" applyFill="1" applyBorder="1" applyAlignment="1">
      <alignment horizontal="right"/>
    </xf>
    <xf numFmtId="3" fontId="6" fillId="0" borderId="32" xfId="4" applyNumberFormat="1" applyFont="1" applyFill="1" applyBorder="1" applyAlignment="1">
      <alignment horizontal="right"/>
    </xf>
    <xf numFmtId="3" fontId="6" fillId="0" borderId="33" xfId="4" applyNumberFormat="1" applyFont="1" applyFill="1" applyBorder="1" applyAlignment="1">
      <alignment horizontal="right"/>
    </xf>
    <xf numFmtId="171" fontId="8" fillId="8" borderId="26" xfId="1" applyNumberFormat="1" applyFont="1" applyFill="1" applyBorder="1"/>
    <xf numFmtId="171" fontId="8" fillId="8" borderId="27" xfId="1" applyNumberFormat="1" applyFont="1" applyFill="1" applyBorder="1" applyAlignment="1">
      <alignment horizontal="right"/>
    </xf>
    <xf numFmtId="171" fontId="8" fillId="8" borderId="31" xfId="1" applyNumberFormat="1" applyFont="1" applyFill="1" applyBorder="1"/>
    <xf numFmtId="171" fontId="8" fillId="8" borderId="32" xfId="1" applyNumberFormat="1" applyFont="1" applyFill="1" applyBorder="1" applyAlignment="1">
      <alignment horizontal="right"/>
    </xf>
    <xf numFmtId="164" fontId="8" fillId="8" borderId="11" xfId="4" applyNumberFormat="1" applyFont="1" applyFill="1" applyBorder="1"/>
    <xf numFmtId="164" fontId="17" fillId="0" borderId="0" xfId="4" applyNumberFormat="1" applyFont="1"/>
    <xf numFmtId="164" fontId="8" fillId="9" borderId="26" xfId="4" applyNumberFormat="1" applyFont="1" applyFill="1" applyBorder="1" applyAlignment="1">
      <alignment horizontal="left"/>
    </xf>
    <xf numFmtId="164" fontId="8" fillId="9" borderId="29" xfId="4" applyNumberFormat="1" applyFont="1" applyFill="1" applyBorder="1" applyAlignment="1">
      <alignment horizontal="left"/>
    </xf>
    <xf numFmtId="164" fontId="8" fillId="9" borderId="31" xfId="4" applyNumberFormat="1" applyFont="1" applyFill="1" applyBorder="1" applyAlignment="1">
      <alignment horizontal="left"/>
    </xf>
    <xf numFmtId="164" fontId="8" fillId="9" borderId="13" xfId="4" applyNumberFormat="1" applyFont="1" applyFill="1" applyBorder="1"/>
    <xf numFmtId="164" fontId="8" fillId="9" borderId="14" xfId="4" applyNumberFormat="1" applyFont="1" applyFill="1" applyBorder="1" applyAlignment="1">
      <alignment horizontal="right"/>
    </xf>
    <xf numFmtId="166" fontId="8" fillId="9" borderId="14" xfId="0" applyNumberFormat="1" applyFont="1" applyFill="1" applyBorder="1"/>
    <xf numFmtId="166" fontId="6" fillId="9" borderId="14" xfId="4" applyNumberFormat="1" applyFont="1" applyFill="1" applyBorder="1" applyAlignment="1">
      <alignment horizontal="right"/>
    </xf>
    <xf numFmtId="164" fontId="9" fillId="9" borderId="16" xfId="4" applyNumberFormat="1" applyFont="1" applyFill="1" applyBorder="1" applyAlignment="1">
      <alignment horizontal="left"/>
    </xf>
    <xf numFmtId="164" fontId="9" fillId="9" borderId="12" xfId="4" applyNumberFormat="1" applyFont="1" applyFill="1" applyBorder="1" applyAlignment="1">
      <alignment horizontal="left"/>
    </xf>
    <xf numFmtId="164" fontId="8" fillId="9" borderId="10" xfId="4" applyNumberFormat="1" applyFont="1" applyFill="1" applyBorder="1" applyAlignment="1">
      <alignment vertical="justify" wrapText="1"/>
    </xf>
    <xf numFmtId="3" fontId="6" fillId="9" borderId="11" xfId="4" applyNumberFormat="1" applyFont="1" applyFill="1" applyBorder="1" applyAlignment="1">
      <alignment horizontal="right"/>
    </xf>
    <xf numFmtId="164" fontId="8" fillId="0" borderId="1" xfId="4" applyNumberFormat="1" applyFont="1" applyFill="1" applyBorder="1" applyAlignment="1">
      <alignment vertical="justify" wrapText="1"/>
    </xf>
    <xf numFmtId="167" fontId="6" fillId="9" borderId="11" xfId="4" applyNumberFormat="1" applyFont="1" applyFill="1" applyBorder="1" applyAlignment="1">
      <alignment horizontal="left"/>
    </xf>
    <xf numFmtId="164" fontId="6" fillId="9" borderId="35" xfId="4" applyNumberFormat="1" applyFont="1" applyFill="1" applyBorder="1"/>
    <xf numFmtId="164" fontId="6" fillId="9" borderId="29" xfId="4" applyNumberFormat="1" applyFont="1" applyFill="1" applyBorder="1"/>
    <xf numFmtId="164" fontId="6" fillId="9" borderId="31" xfId="4" applyNumberFormat="1" applyFont="1" applyFill="1" applyBorder="1"/>
    <xf numFmtId="164" fontId="9" fillId="9" borderId="10" xfId="4" applyNumberFormat="1" applyFont="1" applyFill="1" applyBorder="1" applyAlignment="1">
      <alignment horizontal="left"/>
    </xf>
    <xf numFmtId="164" fontId="9" fillId="9" borderId="11" xfId="4" applyNumberFormat="1" applyFont="1" applyFill="1" applyBorder="1" applyAlignment="1">
      <alignment horizontal="left"/>
    </xf>
    <xf numFmtId="164" fontId="8" fillId="9" borderId="16" xfId="4" applyNumberFormat="1" applyFont="1" applyFill="1" applyBorder="1"/>
    <xf numFmtId="164" fontId="8" fillId="9" borderId="12" xfId="4" applyNumberFormat="1" applyFont="1" applyFill="1" applyBorder="1"/>
    <xf numFmtId="164" fontId="8" fillId="9" borderId="10" xfId="4" applyNumberFormat="1" applyFont="1" applyFill="1" applyBorder="1"/>
    <xf numFmtId="164" fontId="6" fillId="9" borderId="0" xfId="4" applyNumberFormat="1" applyFont="1" applyFill="1" applyBorder="1" applyAlignment="1">
      <alignment horizontal="center"/>
    </xf>
    <xf numFmtId="164" fontId="6" fillId="9" borderId="0" xfId="4" applyNumberFormat="1" applyFont="1" applyFill="1" applyBorder="1" applyAlignment="1">
      <alignment horizontal="right"/>
    </xf>
    <xf numFmtId="166" fontId="6" fillId="9" borderId="0" xfId="4" applyNumberFormat="1" applyFont="1" applyFill="1" applyBorder="1" applyAlignment="1">
      <alignment horizontal="center"/>
    </xf>
    <xf numFmtId="168" fontId="6" fillId="9" borderId="0" xfId="4" applyNumberFormat="1" applyFont="1" applyFill="1" applyBorder="1" applyAlignment="1">
      <alignment horizontal="center"/>
    </xf>
    <xf numFmtId="168" fontId="6" fillId="9" borderId="5" xfId="4" applyNumberFormat="1" applyFont="1" applyFill="1" applyBorder="1"/>
    <xf numFmtId="167" fontId="8" fillId="9" borderId="11" xfId="4" applyNumberFormat="1" applyFont="1" applyFill="1" applyBorder="1"/>
    <xf numFmtId="164" fontId="8" fillId="9" borderId="4" xfId="4" applyNumberFormat="1" applyFont="1" applyFill="1" applyBorder="1"/>
    <xf numFmtId="9" fontId="6" fillId="9" borderId="0" xfId="3" applyFont="1" applyFill="1" applyBorder="1" applyAlignment="1">
      <alignment horizontal="right"/>
    </xf>
    <xf numFmtId="168" fontId="6" fillId="9" borderId="0" xfId="4" applyNumberFormat="1" applyFont="1" applyFill="1" applyBorder="1"/>
    <xf numFmtId="3" fontId="6" fillId="9" borderId="0" xfId="7" applyNumberFormat="1" applyFont="1" applyFill="1" applyBorder="1" applyAlignment="1">
      <alignment horizontal="left"/>
    </xf>
    <xf numFmtId="167" fontId="5" fillId="9" borderId="11" xfId="4" applyNumberFormat="1" applyFont="1" applyFill="1" applyBorder="1" applyAlignment="1">
      <alignment horizontal="left"/>
    </xf>
    <xf numFmtId="164" fontId="8" fillId="9" borderId="1" xfId="4" applyNumberFormat="1" applyFont="1" applyFill="1" applyBorder="1"/>
    <xf numFmtId="9" fontId="6" fillId="9" borderId="2" xfId="3" applyFont="1" applyFill="1" applyBorder="1" applyAlignment="1">
      <alignment horizontal="right"/>
    </xf>
    <xf numFmtId="164" fontId="6" fillId="9" borderId="2" xfId="4" applyNumberFormat="1" applyFont="1" applyFill="1" applyBorder="1" applyAlignment="1">
      <alignment horizontal="center"/>
    </xf>
    <xf numFmtId="3" fontId="6" fillId="9" borderId="2" xfId="4" applyNumberFormat="1" applyFont="1" applyFill="1" applyBorder="1"/>
    <xf numFmtId="3" fontId="6" fillId="9" borderId="2" xfId="4" applyNumberFormat="1" applyFont="1" applyFill="1" applyBorder="1" applyAlignment="1">
      <alignment horizontal="center"/>
    </xf>
    <xf numFmtId="168" fontId="6" fillId="9" borderId="2" xfId="4" applyNumberFormat="1" applyFont="1" applyFill="1" applyBorder="1"/>
    <xf numFmtId="3" fontId="6" fillId="9" borderId="3" xfId="4" applyNumberFormat="1" applyFont="1" applyFill="1" applyBorder="1"/>
    <xf numFmtId="3" fontId="6" fillId="9" borderId="5" xfId="4" applyNumberFormat="1" applyFont="1" applyFill="1" applyBorder="1"/>
    <xf numFmtId="164" fontId="8" fillId="9" borderId="6" xfId="4" applyNumberFormat="1" applyFont="1" applyFill="1" applyBorder="1"/>
    <xf numFmtId="164" fontId="6" fillId="9" borderId="7" xfId="4" applyNumberFormat="1" applyFont="1" applyFill="1" applyBorder="1"/>
    <xf numFmtId="164" fontId="8" fillId="9" borderId="7" xfId="4" applyNumberFormat="1" applyFont="1" applyFill="1" applyBorder="1" applyAlignment="1">
      <alignment horizontal="justify" vertical="justify" wrapText="1"/>
    </xf>
    <xf numFmtId="3" fontId="6" fillId="9" borderId="7" xfId="4" applyNumberFormat="1" applyFont="1" applyFill="1" applyBorder="1"/>
    <xf numFmtId="164" fontId="6" fillId="9" borderId="8" xfId="4" applyNumberFormat="1" applyFont="1" applyFill="1" applyBorder="1"/>
    <xf numFmtId="3" fontId="6" fillId="9" borderId="1" xfId="4" applyNumberFormat="1" applyFont="1" applyFill="1" applyBorder="1" applyAlignment="1">
      <alignment horizontal="right"/>
    </xf>
    <xf numFmtId="173" fontId="6" fillId="9" borderId="2" xfId="4" applyNumberFormat="1" applyFont="1" applyFill="1" applyBorder="1" applyAlignment="1">
      <alignment horizontal="right"/>
    </xf>
    <xf numFmtId="164" fontId="6" fillId="9" borderId="2" xfId="4" applyNumberFormat="1" applyFont="1" applyFill="1" applyBorder="1"/>
    <xf numFmtId="164" fontId="6" fillId="9" borderId="3" xfId="4" applyNumberFormat="1" applyFont="1" applyFill="1" applyBorder="1"/>
    <xf numFmtId="3" fontId="6" fillId="9" borderId="4" xfId="4" applyNumberFormat="1" applyFont="1" applyFill="1" applyBorder="1" applyAlignment="1">
      <alignment horizontal="right"/>
    </xf>
    <xf numFmtId="169" fontId="6" fillId="9" borderId="5" xfId="4" applyNumberFormat="1" applyFont="1" applyFill="1" applyBorder="1"/>
    <xf numFmtId="9" fontId="6" fillId="9" borderId="5" xfId="7" applyFont="1" applyFill="1" applyBorder="1" applyAlignment="1">
      <alignment horizontal="left"/>
    </xf>
    <xf numFmtId="174" fontId="6" fillId="9" borderId="0" xfId="3" applyNumberFormat="1" applyFont="1" applyFill="1" applyBorder="1"/>
    <xf numFmtId="3" fontId="6" fillId="9" borderId="6" xfId="4" applyNumberFormat="1" applyFont="1" applyFill="1" applyBorder="1" applyAlignment="1">
      <alignment horizontal="right"/>
    </xf>
    <xf numFmtId="164" fontId="6" fillId="9" borderId="7" xfId="4" applyNumberFormat="1" applyFont="1" applyFill="1" applyBorder="1" applyAlignment="1">
      <alignment horizontal="center"/>
    </xf>
    <xf numFmtId="166" fontId="6" fillId="9" borderId="7" xfId="4" applyNumberFormat="1" applyFont="1" applyFill="1" applyBorder="1"/>
    <xf numFmtId="169" fontId="6" fillId="9" borderId="8" xfId="4" applyNumberFormat="1" applyFont="1" applyFill="1" applyBorder="1"/>
    <xf numFmtId="164" fontId="5" fillId="9" borderId="1" xfId="4" applyNumberFormat="1" applyFont="1" applyFill="1" applyBorder="1"/>
    <xf numFmtId="4" fontId="18" fillId="9" borderId="2" xfId="4" applyNumberFormat="1" applyFont="1" applyFill="1" applyBorder="1" applyAlignment="1">
      <alignment horizontal="right"/>
    </xf>
    <xf numFmtId="164" fontId="5" fillId="9" borderId="2" xfId="4" applyNumberFormat="1" applyFont="1" applyFill="1" applyBorder="1" applyAlignment="1">
      <alignment horizontal="left"/>
    </xf>
    <xf numFmtId="3" fontId="18" fillId="9" borderId="2" xfId="4" applyNumberFormat="1" applyFont="1" applyFill="1" applyBorder="1"/>
    <xf numFmtId="168" fontId="18" fillId="9" borderId="2" xfId="4" applyNumberFormat="1" applyFont="1" applyFill="1" applyBorder="1"/>
    <xf numFmtId="167" fontId="6" fillId="0" borderId="16" xfId="4" applyNumberFormat="1" applyFont="1" applyBorder="1"/>
    <xf numFmtId="167" fontId="6" fillId="0" borderId="12" xfId="4" applyNumberFormat="1" applyFont="1" applyBorder="1"/>
    <xf numFmtId="167" fontId="6" fillId="0" borderId="10" xfId="4" applyNumberFormat="1" applyFont="1" applyBorder="1"/>
    <xf numFmtId="174" fontId="6" fillId="9" borderId="11" xfId="3" applyNumberFormat="1" applyFont="1" applyFill="1" applyBorder="1" applyAlignment="1">
      <alignment horizontal="right"/>
    </xf>
    <xf numFmtId="3" fontId="20" fillId="0" borderId="0" xfId="0" applyNumberFormat="1" applyFont="1"/>
    <xf numFmtId="0" fontId="3" fillId="10" borderId="11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12" borderId="45" xfId="0" applyFill="1" applyBorder="1"/>
    <xf numFmtId="0" fontId="0" fillId="0" borderId="0" xfId="0" applyBorder="1"/>
    <xf numFmtId="0" fontId="16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 wrapText="1"/>
    </xf>
    <xf numFmtId="0" fontId="0" fillId="13" borderId="9" xfId="0" applyFill="1" applyBorder="1"/>
    <xf numFmtId="0" fontId="0" fillId="11" borderId="41" xfId="0" applyFill="1" applyBorder="1" applyAlignment="1">
      <alignment horizontal="center"/>
    </xf>
    <xf numFmtId="0" fontId="0" fillId="12" borderId="46" xfId="0" applyFill="1" applyBorder="1" applyAlignment="1">
      <alignment horizontal="center"/>
    </xf>
    <xf numFmtId="3" fontId="0" fillId="12" borderId="23" xfId="0" applyNumberFormat="1" applyFill="1" applyBorder="1" applyAlignment="1">
      <alignment horizontal="center"/>
    </xf>
    <xf numFmtId="3" fontId="0" fillId="11" borderId="23" xfId="0" applyNumberFormat="1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3" fontId="0" fillId="11" borderId="9" xfId="0" applyNumberFormat="1" applyFill="1" applyBorder="1" applyAlignment="1">
      <alignment horizontal="center"/>
    </xf>
    <xf numFmtId="0" fontId="0" fillId="11" borderId="34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44" fontId="0" fillId="12" borderId="23" xfId="2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7" borderId="9" xfId="0" applyFill="1" applyBorder="1"/>
    <xf numFmtId="0" fontId="0" fillId="14" borderId="9" xfId="0" applyFill="1" applyBorder="1"/>
    <xf numFmtId="0" fontId="0" fillId="15" borderId="9" xfId="0" applyFill="1" applyBorder="1"/>
    <xf numFmtId="0" fontId="0" fillId="11" borderId="47" xfId="0" applyFill="1" applyBorder="1" applyAlignment="1">
      <alignment horizontal="center"/>
    </xf>
    <xf numFmtId="0" fontId="0" fillId="11" borderId="25" xfId="0" applyFill="1" applyBorder="1" applyAlignment="1">
      <alignment horizontal="center"/>
    </xf>
    <xf numFmtId="3" fontId="0" fillId="12" borderId="46" xfId="0" applyNumberFormat="1" applyFill="1" applyBorder="1" applyAlignment="1">
      <alignment horizontal="center"/>
    </xf>
    <xf numFmtId="0" fontId="0" fillId="12" borderId="43" xfId="0" applyFill="1" applyBorder="1" applyAlignment="1">
      <alignment horizontal="center"/>
    </xf>
    <xf numFmtId="3" fontId="0" fillId="12" borderId="48" xfId="0" applyNumberFormat="1" applyFill="1" applyBorder="1" applyAlignment="1">
      <alignment horizontal="center"/>
    </xf>
    <xf numFmtId="3" fontId="0" fillId="12" borderId="43" xfId="0" applyNumberFormat="1" applyFill="1" applyBorder="1" applyAlignment="1">
      <alignment horizontal="center"/>
    </xf>
    <xf numFmtId="3" fontId="0" fillId="12" borderId="11" xfId="0" applyNumberFormat="1" applyFill="1" applyBorder="1" applyAlignment="1">
      <alignment horizontal="center"/>
    </xf>
    <xf numFmtId="0" fontId="3" fillId="10" borderId="11" xfId="0" applyFont="1" applyFill="1" applyBorder="1" applyAlignment="1">
      <alignment vertical="center"/>
    </xf>
    <xf numFmtId="0" fontId="3" fillId="0" borderId="0" xfId="0" applyFont="1" applyBorder="1" applyAlignment="1"/>
    <xf numFmtId="0" fontId="16" fillId="12" borderId="23" xfId="0" applyFont="1" applyFill="1" applyBorder="1"/>
    <xf numFmtId="9" fontId="0" fillId="12" borderId="23" xfId="0" applyNumberFormat="1" applyFill="1" applyBorder="1"/>
    <xf numFmtId="0" fontId="16" fillId="12" borderId="23" xfId="0" applyFont="1" applyFill="1" applyBorder="1" applyAlignment="1"/>
    <xf numFmtId="0" fontId="0" fillId="12" borderId="23" xfId="0" applyFill="1" applyBorder="1"/>
    <xf numFmtId="0" fontId="16" fillId="12" borderId="23" xfId="0" applyFont="1" applyFill="1" applyBorder="1" applyAlignment="1">
      <alignment horizontal="left"/>
    </xf>
    <xf numFmtId="0" fontId="16" fillId="12" borderId="9" xfId="0" applyFont="1" applyFill="1" applyBorder="1"/>
    <xf numFmtId="9" fontId="0" fillId="12" borderId="9" xfId="0" applyNumberFormat="1" applyFill="1" applyBorder="1"/>
    <xf numFmtId="0" fontId="16" fillId="12" borderId="9" xfId="0" applyFont="1" applyFill="1" applyBorder="1" applyAlignment="1"/>
    <xf numFmtId="0" fontId="0" fillId="12" borderId="9" xfId="0" applyFill="1" applyBorder="1"/>
    <xf numFmtId="0" fontId="16" fillId="12" borderId="9" xfId="0" applyFont="1" applyFill="1" applyBorder="1" applyAlignment="1">
      <alignment horizontal="left"/>
    </xf>
    <xf numFmtId="166" fontId="0" fillId="0" borderId="0" xfId="0" applyNumberFormat="1"/>
    <xf numFmtId="15" fontId="6" fillId="0" borderId="43" xfId="4" applyNumberFormat="1" applyFont="1" applyBorder="1" applyAlignment="1">
      <alignment horizontal="center"/>
    </xf>
    <xf numFmtId="15" fontId="6" fillId="0" borderId="44" xfId="4" applyNumberFormat="1" applyFont="1" applyBorder="1" applyAlignment="1">
      <alignment horizontal="center"/>
    </xf>
    <xf numFmtId="15" fontId="5" fillId="2" borderId="1" xfId="4" applyNumberFormat="1" applyFont="1" applyFill="1" applyBorder="1" applyAlignment="1">
      <alignment horizontal="center"/>
    </xf>
    <xf numFmtId="15" fontId="5" fillId="2" borderId="2" xfId="4" applyNumberFormat="1" applyFont="1" applyFill="1" applyBorder="1" applyAlignment="1">
      <alignment horizontal="center"/>
    </xf>
    <xf numFmtId="15" fontId="5" fillId="2" borderId="3" xfId="4" applyNumberFormat="1" applyFont="1" applyFill="1" applyBorder="1" applyAlignment="1">
      <alignment horizontal="center"/>
    </xf>
    <xf numFmtId="15" fontId="5" fillId="2" borderId="4" xfId="4" applyNumberFormat="1" applyFont="1" applyFill="1" applyBorder="1" applyAlignment="1">
      <alignment horizontal="center"/>
    </xf>
    <xf numFmtId="15" fontId="5" fillId="2" borderId="0" xfId="4" applyNumberFormat="1" applyFont="1" applyFill="1" applyBorder="1" applyAlignment="1">
      <alignment horizontal="center"/>
    </xf>
    <xf numFmtId="15" fontId="5" fillId="2" borderId="5" xfId="4" applyNumberFormat="1" applyFont="1" applyFill="1" applyBorder="1" applyAlignment="1">
      <alignment horizontal="center"/>
    </xf>
    <xf numFmtId="164" fontId="5" fillId="2" borderId="1" xfId="4" applyNumberFormat="1" applyFont="1" applyFill="1" applyBorder="1" applyAlignment="1">
      <alignment horizontal="center"/>
    </xf>
    <xf numFmtId="164" fontId="5" fillId="2" borderId="2" xfId="4" applyNumberFormat="1" applyFont="1" applyFill="1" applyBorder="1" applyAlignment="1">
      <alignment horizontal="center"/>
    </xf>
    <xf numFmtId="164" fontId="5" fillId="2" borderId="3" xfId="4" applyNumberFormat="1" applyFont="1" applyFill="1" applyBorder="1" applyAlignment="1">
      <alignment horizontal="center"/>
    </xf>
    <xf numFmtId="15" fontId="6" fillId="0" borderId="27" xfId="4" applyNumberFormat="1" applyFont="1" applyBorder="1" applyAlignment="1">
      <alignment horizontal="center"/>
    </xf>
    <xf numFmtId="15" fontId="6" fillId="0" borderId="28" xfId="4" applyNumberFormat="1" applyFont="1" applyBorder="1" applyAlignment="1">
      <alignment horizontal="center"/>
    </xf>
    <xf numFmtId="164" fontId="8" fillId="9" borderId="13" xfId="4" applyNumberFormat="1" applyFont="1" applyFill="1" applyBorder="1" applyAlignment="1">
      <alignment horizontal="center"/>
    </xf>
    <xf numFmtId="164" fontId="8" fillId="9" borderId="14" xfId="4" applyNumberFormat="1" applyFont="1" applyFill="1" applyBorder="1" applyAlignment="1">
      <alignment horizontal="center"/>
    </xf>
    <xf numFmtId="164" fontId="8" fillId="9" borderId="15" xfId="4" applyNumberFormat="1" applyFont="1" applyFill="1" applyBorder="1" applyAlignment="1">
      <alignment horizontal="center"/>
    </xf>
    <xf numFmtId="164" fontId="8" fillId="8" borderId="37" xfId="4" applyNumberFormat="1" applyFont="1" applyFill="1" applyBorder="1" applyAlignment="1">
      <alignment horizontal="center" vertical="center" wrapText="1"/>
    </xf>
    <xf numFmtId="164" fontId="8" fillId="8" borderId="38" xfId="4" applyNumberFormat="1" applyFont="1" applyFill="1" applyBorder="1" applyAlignment="1">
      <alignment horizontal="center" vertical="center" wrapText="1"/>
    </xf>
    <xf numFmtId="164" fontId="8" fillId="8" borderId="39" xfId="4" applyNumberFormat="1" applyFont="1" applyFill="1" applyBorder="1" applyAlignment="1">
      <alignment horizontal="center" vertical="center" wrapText="1"/>
    </xf>
    <xf numFmtId="164" fontId="6" fillId="0" borderId="1" xfId="4" applyNumberFormat="1" applyFont="1" applyBorder="1" applyAlignment="1">
      <alignment horizontal="left" vertical="justify" wrapText="1"/>
    </xf>
    <xf numFmtId="164" fontId="6" fillId="0" borderId="2" xfId="4" applyNumberFormat="1" applyFont="1" applyBorder="1" applyAlignment="1">
      <alignment horizontal="left" vertical="justify" wrapText="1"/>
    </xf>
    <xf numFmtId="164" fontId="6" fillId="0" borderId="3" xfId="4" applyNumberFormat="1" applyFont="1" applyBorder="1" applyAlignment="1">
      <alignment horizontal="left" vertical="justify" wrapText="1"/>
    </xf>
    <xf numFmtId="164" fontId="6" fillId="0" borderId="4" xfId="4" applyNumberFormat="1" applyFont="1" applyBorder="1" applyAlignment="1">
      <alignment horizontal="left" vertical="justify" wrapText="1"/>
    </xf>
    <xf numFmtId="164" fontId="6" fillId="0" borderId="0" xfId="4" applyNumberFormat="1" applyFont="1" applyBorder="1" applyAlignment="1">
      <alignment horizontal="left" vertical="justify" wrapText="1"/>
    </xf>
    <xf numFmtId="164" fontId="6" fillId="0" borderId="5" xfId="4" applyNumberFormat="1" applyFont="1" applyBorder="1" applyAlignment="1">
      <alignment horizontal="left" vertical="justify" wrapText="1"/>
    </xf>
    <xf numFmtId="164" fontId="6" fillId="0" borderId="6" xfId="4" applyNumberFormat="1" applyFont="1" applyBorder="1" applyAlignment="1">
      <alignment horizontal="left" vertical="justify" wrapText="1"/>
    </xf>
    <xf numFmtId="164" fontId="6" fillId="0" borderId="7" xfId="4" applyNumberFormat="1" applyFont="1" applyBorder="1" applyAlignment="1">
      <alignment horizontal="left" vertical="justify" wrapText="1"/>
    </xf>
    <xf numFmtId="164" fontId="6" fillId="0" borderId="8" xfId="4" applyNumberFormat="1" applyFont="1" applyBorder="1" applyAlignment="1">
      <alignment horizontal="left" vertical="justify" wrapText="1"/>
    </xf>
    <xf numFmtId="164" fontId="5" fillId="2" borderId="13" xfId="4" applyNumberFormat="1" applyFont="1" applyFill="1" applyBorder="1" applyAlignment="1">
      <alignment horizontal="center"/>
    </xf>
    <xf numFmtId="164" fontId="5" fillId="2" borderId="14" xfId="4" applyNumberFormat="1" applyFont="1" applyFill="1" applyBorder="1" applyAlignment="1">
      <alignment horizontal="center"/>
    </xf>
    <xf numFmtId="164" fontId="5" fillId="2" borderId="15" xfId="4" applyNumberFormat="1" applyFont="1" applyFill="1" applyBorder="1" applyAlignment="1">
      <alignment horizontal="center"/>
    </xf>
    <xf numFmtId="164" fontId="9" fillId="9" borderId="4" xfId="4" applyNumberFormat="1" applyFont="1" applyFill="1" applyBorder="1" applyAlignment="1">
      <alignment horizontal="left"/>
    </xf>
    <xf numFmtId="164" fontId="9" fillId="9" borderId="0" xfId="4" applyNumberFormat="1" applyFont="1" applyFill="1" applyBorder="1" applyAlignment="1">
      <alignment horizontal="left"/>
    </xf>
    <xf numFmtId="164" fontId="9" fillId="9" borderId="5" xfId="4" applyNumberFormat="1" applyFont="1" applyFill="1" applyBorder="1" applyAlignment="1">
      <alignment horizontal="left"/>
    </xf>
    <xf numFmtId="164" fontId="9" fillId="9" borderId="13" xfId="4" applyNumberFormat="1" applyFont="1" applyFill="1" applyBorder="1" applyAlignment="1">
      <alignment horizontal="left"/>
    </xf>
    <xf numFmtId="164" fontId="9" fillId="9" borderId="14" xfId="4" applyNumberFormat="1" applyFont="1" applyFill="1" applyBorder="1" applyAlignment="1">
      <alignment horizontal="left"/>
    </xf>
    <xf numFmtId="164" fontId="9" fillId="9" borderId="15" xfId="4" applyNumberFormat="1" applyFont="1" applyFill="1" applyBorder="1" applyAlignment="1">
      <alignment horizontal="left"/>
    </xf>
    <xf numFmtId="164" fontId="5" fillId="9" borderId="13" xfId="4" applyNumberFormat="1" applyFont="1" applyFill="1" applyBorder="1" applyAlignment="1">
      <alignment horizontal="left"/>
    </xf>
    <xf numFmtId="164" fontId="5" fillId="9" borderId="14" xfId="4" applyNumberFormat="1" applyFont="1" applyFill="1" applyBorder="1" applyAlignment="1">
      <alignment horizontal="left"/>
    </xf>
    <xf numFmtId="164" fontId="5" fillId="9" borderId="15" xfId="4" applyNumberFormat="1" applyFont="1" applyFill="1" applyBorder="1" applyAlignment="1">
      <alignment horizontal="left"/>
    </xf>
    <xf numFmtId="164" fontId="9" fillId="9" borderId="1" xfId="4" applyNumberFormat="1" applyFont="1" applyFill="1" applyBorder="1" applyAlignment="1">
      <alignment horizontal="left"/>
    </xf>
    <xf numFmtId="164" fontId="9" fillId="9" borderId="2" xfId="4" applyNumberFormat="1" applyFont="1" applyFill="1" applyBorder="1" applyAlignment="1">
      <alignment horizontal="left"/>
    </xf>
    <xf numFmtId="164" fontId="9" fillId="9" borderId="3" xfId="4" applyNumberFormat="1" applyFont="1" applyFill="1" applyBorder="1" applyAlignment="1">
      <alignment horizontal="left"/>
    </xf>
    <xf numFmtId="164" fontId="8" fillId="9" borderId="13" xfId="4" applyNumberFormat="1" applyFont="1" applyFill="1" applyBorder="1" applyAlignment="1">
      <alignment horizontal="left"/>
    </xf>
    <xf numFmtId="164" fontId="8" fillId="9" borderId="14" xfId="4" applyNumberFormat="1" applyFont="1" applyFill="1" applyBorder="1" applyAlignment="1">
      <alignment horizontal="left"/>
    </xf>
    <xf numFmtId="164" fontId="8" fillId="9" borderId="15" xfId="4" applyNumberFormat="1" applyFont="1" applyFill="1" applyBorder="1" applyAlignment="1">
      <alignment horizontal="left"/>
    </xf>
    <xf numFmtId="164" fontId="9" fillId="2" borderId="13" xfId="4" applyNumberFormat="1" applyFont="1" applyFill="1" applyBorder="1" applyAlignment="1">
      <alignment horizontal="center"/>
    </xf>
    <xf numFmtId="164" fontId="9" fillId="2" borderId="15" xfId="4" applyNumberFormat="1" applyFont="1" applyFill="1" applyBorder="1" applyAlignment="1">
      <alignment horizontal="center"/>
    </xf>
    <xf numFmtId="164" fontId="9" fillId="2" borderId="14" xfId="4" applyNumberFormat="1" applyFont="1" applyFill="1" applyBorder="1" applyAlignment="1">
      <alignment horizontal="center"/>
    </xf>
    <xf numFmtId="164" fontId="19" fillId="9" borderId="1" xfId="4" applyNumberFormat="1" applyFont="1" applyFill="1" applyBorder="1" applyAlignment="1">
      <alignment horizontal="left"/>
    </xf>
    <xf numFmtId="164" fontId="19" fillId="9" borderId="2" xfId="4" applyNumberFormat="1" applyFont="1" applyFill="1" applyBorder="1" applyAlignment="1">
      <alignment horizontal="left"/>
    </xf>
    <xf numFmtId="164" fontId="19" fillId="9" borderId="3" xfId="4" applyNumberFormat="1" applyFont="1" applyFill="1" applyBorder="1" applyAlignment="1">
      <alignment horizontal="left"/>
    </xf>
    <xf numFmtId="164" fontId="19" fillId="9" borderId="6" xfId="4" applyNumberFormat="1" applyFont="1" applyFill="1" applyBorder="1" applyAlignment="1">
      <alignment horizontal="left"/>
    </xf>
    <xf numFmtId="164" fontId="19" fillId="9" borderId="7" xfId="4" applyNumberFormat="1" applyFont="1" applyFill="1" applyBorder="1" applyAlignment="1">
      <alignment horizontal="left"/>
    </xf>
    <xf numFmtId="164" fontId="19" fillId="9" borderId="8" xfId="4" applyNumberFormat="1" applyFont="1" applyFill="1" applyBorder="1" applyAlignment="1">
      <alignment horizontal="left"/>
    </xf>
    <xf numFmtId="15" fontId="6" fillId="0" borderId="0" xfId="4" applyNumberFormat="1" applyFont="1" applyFill="1" applyBorder="1" applyAlignment="1">
      <alignment horizontal="center"/>
    </xf>
    <xf numFmtId="164" fontId="8" fillId="0" borderId="40" xfId="4" applyNumberFormat="1" applyFont="1" applyBorder="1" applyAlignment="1">
      <alignment horizontal="left"/>
    </xf>
    <xf numFmtId="164" fontId="8" fillId="0" borderId="20" xfId="4" applyNumberFormat="1" applyFont="1" applyBorder="1" applyAlignment="1">
      <alignment horizontal="left"/>
    </xf>
    <xf numFmtId="164" fontId="8" fillId="0" borderId="41" xfId="4" applyNumberFormat="1" applyFont="1" applyBorder="1" applyAlignment="1">
      <alignment horizontal="left"/>
    </xf>
    <xf numFmtId="3" fontId="6" fillId="0" borderId="22" xfId="6" applyNumberFormat="1" applyFont="1" applyBorder="1" applyAlignment="1">
      <alignment horizontal="left"/>
    </xf>
    <xf numFmtId="3" fontId="6" fillId="0" borderId="21" xfId="6" applyNumberFormat="1" applyFont="1" applyBorder="1" applyAlignment="1">
      <alignment horizontal="left"/>
    </xf>
    <xf numFmtId="3" fontId="6" fillId="0" borderId="34" xfId="6" applyNumberFormat="1" applyFont="1" applyBorder="1" applyAlignment="1">
      <alignment horizontal="left"/>
    </xf>
    <xf numFmtId="164" fontId="8" fillId="0" borderId="22" xfId="4" applyNumberFormat="1" applyFont="1" applyBorder="1" applyAlignment="1">
      <alignment horizontal="left"/>
    </xf>
    <xf numFmtId="164" fontId="8" fillId="0" borderId="21" xfId="4" applyNumberFormat="1" applyFont="1" applyBorder="1" applyAlignment="1">
      <alignment horizontal="left"/>
    </xf>
    <xf numFmtId="164" fontId="8" fillId="0" borderId="34" xfId="4" applyNumberFormat="1" applyFont="1" applyBorder="1" applyAlignment="1">
      <alignment horizontal="left"/>
    </xf>
    <xf numFmtId="164" fontId="6" fillId="0" borderId="42" xfId="4" applyNumberFormat="1" applyFont="1" applyBorder="1" applyAlignment="1">
      <alignment horizontal="left"/>
    </xf>
    <xf numFmtId="164" fontId="6" fillId="0" borderId="24" xfId="4" applyNumberFormat="1" applyFont="1" applyBorder="1" applyAlignment="1">
      <alignment horizontal="left"/>
    </xf>
    <xf numFmtId="164" fontId="6" fillId="0" borderId="25" xfId="4" applyNumberFormat="1" applyFont="1" applyBorder="1" applyAlignment="1">
      <alignment horizontal="left"/>
    </xf>
    <xf numFmtId="164" fontId="8" fillId="0" borderId="6" xfId="4" applyNumberFormat="1" applyFont="1" applyBorder="1" applyAlignment="1">
      <alignment horizontal="center"/>
    </xf>
    <xf numFmtId="164" fontId="8" fillId="0" borderId="7" xfId="4" applyNumberFormat="1" applyFont="1" applyBorder="1" applyAlignment="1">
      <alignment horizontal="center"/>
    </xf>
    <xf numFmtId="164" fontId="8" fillId="0" borderId="8" xfId="4" applyNumberFormat="1" applyFont="1" applyBorder="1" applyAlignment="1">
      <alignment horizontal="center"/>
    </xf>
    <xf numFmtId="164" fontId="6" fillId="9" borderId="1" xfId="4" applyNumberFormat="1" applyFont="1" applyFill="1" applyBorder="1" applyAlignment="1">
      <alignment horizontal="left"/>
    </xf>
    <xf numFmtId="164" fontId="6" fillId="9" borderId="2" xfId="4" applyNumberFormat="1" applyFont="1" applyFill="1" applyBorder="1" applyAlignment="1">
      <alignment horizontal="left"/>
    </xf>
    <xf numFmtId="164" fontId="6" fillId="9" borderId="4" xfId="4" applyNumberFormat="1" applyFont="1" applyFill="1" applyBorder="1" applyAlignment="1">
      <alignment horizontal="left"/>
    </xf>
    <xf numFmtId="164" fontId="6" fillId="9" borderId="0" xfId="4" applyNumberFormat="1" applyFont="1" applyFill="1" applyBorder="1" applyAlignment="1">
      <alignment horizontal="left"/>
    </xf>
    <xf numFmtId="164" fontId="5" fillId="2" borderId="13" xfId="4" applyNumberFormat="1" applyFont="1" applyFill="1" applyBorder="1" applyAlignment="1">
      <alignment horizontal="left" vertical="justify" wrapText="1"/>
    </xf>
    <xf numFmtId="164" fontId="5" fillId="2" borderId="14" xfId="4" applyNumberFormat="1" applyFont="1" applyFill="1" applyBorder="1" applyAlignment="1">
      <alignment horizontal="left" vertical="justify" wrapText="1"/>
    </xf>
    <xf numFmtId="164" fontId="5" fillId="2" borderId="15" xfId="4" applyNumberFormat="1" applyFont="1" applyFill="1" applyBorder="1" applyAlignment="1">
      <alignment horizontal="left" vertical="justify" wrapText="1"/>
    </xf>
    <xf numFmtId="164" fontId="6" fillId="0" borderId="16" xfId="4" applyNumberFormat="1" applyFont="1" applyBorder="1" applyAlignment="1">
      <alignment horizontal="center"/>
    </xf>
    <xf numFmtId="164" fontId="6" fillId="0" borderId="12" xfId="4" applyNumberFormat="1" applyFont="1" applyBorder="1" applyAlignment="1">
      <alignment horizontal="center"/>
    </xf>
    <xf numFmtId="164" fontId="6" fillId="0" borderId="5" xfId="4" applyNumberFormat="1" applyFont="1" applyBorder="1" applyAlignment="1">
      <alignment horizontal="center"/>
    </xf>
    <xf numFmtId="164" fontId="8" fillId="0" borderId="4" xfId="4" applyNumberFormat="1" applyFont="1" applyBorder="1" applyAlignment="1">
      <alignment horizontal="center" vertical="justify" wrapText="1"/>
    </xf>
    <xf numFmtId="164" fontId="8" fillId="0" borderId="0" xfId="4" applyNumberFormat="1" applyFont="1" applyBorder="1" applyAlignment="1">
      <alignment horizontal="center" vertical="justify" wrapText="1"/>
    </xf>
    <xf numFmtId="164" fontId="8" fillId="0" borderId="5" xfId="4" applyNumberFormat="1" applyFont="1" applyBorder="1" applyAlignment="1">
      <alignment horizontal="center" vertical="justify" wrapText="1"/>
    </xf>
    <xf numFmtId="164" fontId="6" fillId="9" borderId="13" xfId="4" applyNumberFormat="1" applyFont="1" applyFill="1" applyBorder="1" applyAlignment="1">
      <alignment horizontal="center"/>
    </xf>
    <xf numFmtId="164" fontId="6" fillId="9" borderId="15" xfId="4" applyNumberFormat="1" applyFont="1" applyFill="1" applyBorder="1" applyAlignment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14" fillId="3" borderId="1" xfId="0" applyFont="1" applyFill="1" applyBorder="1" applyAlignment="1" applyProtection="1">
      <alignment horizontal="center"/>
    </xf>
    <xf numFmtId="0" fontId="14" fillId="3" borderId="3" xfId="0" applyFont="1" applyFill="1" applyBorder="1" applyAlignment="1" applyProtection="1">
      <alignment horizontal="center"/>
    </xf>
    <xf numFmtId="0" fontId="13" fillId="3" borderId="1" xfId="0" applyFont="1" applyFill="1" applyBorder="1" applyAlignment="1" applyProtection="1">
      <alignment horizontal="center"/>
    </xf>
    <xf numFmtId="0" fontId="13" fillId="3" borderId="2" xfId="0" applyFont="1" applyFill="1" applyBorder="1" applyAlignment="1" applyProtection="1">
      <alignment horizontal="center"/>
    </xf>
    <xf numFmtId="0" fontId="13" fillId="3" borderId="3" xfId="0" applyFont="1" applyFill="1" applyBorder="1" applyAlignment="1" applyProtection="1">
      <alignment horizontal="center"/>
    </xf>
    <xf numFmtId="3" fontId="0" fillId="12" borderId="22" xfId="0" applyNumberFormat="1" applyFill="1" applyBorder="1" applyAlignment="1">
      <alignment horizontal="center"/>
    </xf>
    <xf numFmtId="3" fontId="0" fillId="12" borderId="45" xfId="0" applyNumberFormat="1" applyFill="1" applyBorder="1" applyAlignment="1">
      <alignment horizontal="center"/>
    </xf>
    <xf numFmtId="3" fontId="12" fillId="12" borderId="22" xfId="0" applyNumberFormat="1" applyFont="1" applyFill="1" applyBorder="1" applyAlignment="1">
      <alignment horizontal="center"/>
    </xf>
    <xf numFmtId="3" fontId="12" fillId="12" borderId="21" xfId="0" applyNumberFormat="1" applyFont="1" applyFill="1" applyBorder="1" applyAlignment="1">
      <alignment horizontal="center"/>
    </xf>
    <xf numFmtId="3" fontId="12" fillId="12" borderId="45" xfId="0" applyNumberFormat="1" applyFont="1" applyFill="1" applyBorder="1" applyAlignment="1">
      <alignment horizontal="center"/>
    </xf>
    <xf numFmtId="0" fontId="16" fillId="12" borderId="9" xfId="0" applyFont="1" applyFill="1" applyBorder="1" applyAlignment="1">
      <alignment horizontal="left"/>
    </xf>
    <xf numFmtId="3" fontId="0" fillId="12" borderId="21" xfId="0" applyNumberFormat="1" applyFill="1" applyBorder="1" applyAlignment="1">
      <alignment horizontal="center"/>
    </xf>
    <xf numFmtId="0" fontId="3" fillId="10" borderId="4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51" xfId="0" applyFont="1" applyFill="1" applyBorder="1" applyAlignment="1">
      <alignment horizontal="center" vertical="center"/>
    </xf>
    <xf numFmtId="0" fontId="0" fillId="10" borderId="49" xfId="0" applyFill="1" applyBorder="1" applyAlignment="1">
      <alignment horizontal="center"/>
    </xf>
    <xf numFmtId="0" fontId="0" fillId="10" borderId="50" xfId="0" applyFill="1" applyBorder="1" applyAlignment="1">
      <alignment horizont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49" xfId="0" applyFont="1" applyFill="1" applyBorder="1" applyAlignment="1">
      <alignment horizontal="center"/>
    </xf>
    <xf numFmtId="0" fontId="3" fillId="10" borderId="50" xfId="0" applyFont="1" applyFill="1" applyBorder="1" applyAlignment="1">
      <alignment horizontal="center"/>
    </xf>
    <xf numFmtId="0" fontId="16" fillId="12" borderId="23" xfId="0" applyFont="1" applyFill="1" applyBorder="1" applyAlignment="1">
      <alignment horizontal="left"/>
    </xf>
    <xf numFmtId="10" fontId="12" fillId="12" borderId="23" xfId="0" applyNumberFormat="1" applyFont="1" applyFill="1" applyBorder="1" applyAlignment="1">
      <alignment horizontal="right"/>
    </xf>
    <xf numFmtId="0" fontId="12" fillId="12" borderId="23" xfId="0" applyFont="1" applyFill="1" applyBorder="1" applyAlignment="1">
      <alignment horizontal="right"/>
    </xf>
    <xf numFmtId="10" fontId="0" fillId="12" borderId="23" xfId="0" applyNumberFormat="1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3" fontId="0" fillId="12" borderId="53" xfId="0" applyNumberFormat="1" applyFill="1" applyBorder="1" applyAlignment="1">
      <alignment horizontal="center"/>
    </xf>
    <xf numFmtId="3" fontId="0" fillId="12" borderId="46" xfId="0" applyNumberFormat="1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right"/>
    </xf>
    <xf numFmtId="0" fontId="3" fillId="12" borderId="15" xfId="0" applyFont="1" applyFill="1" applyBorder="1" applyAlignment="1">
      <alignment horizontal="right"/>
    </xf>
    <xf numFmtId="0" fontId="16" fillId="10" borderId="16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170" fontId="12" fillId="12" borderId="9" xfId="0" applyNumberFormat="1" applyFont="1" applyFill="1" applyBorder="1" applyAlignment="1">
      <alignment horizontal="right"/>
    </xf>
    <xf numFmtId="10" fontId="0" fillId="12" borderId="9" xfId="0" applyNumberForma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3" fontId="0" fillId="12" borderId="40" xfId="0" applyNumberFormat="1" applyFill="1" applyBorder="1" applyAlignment="1">
      <alignment horizontal="center"/>
    </xf>
    <xf numFmtId="3" fontId="0" fillId="12" borderId="52" xfId="0" applyNumberFormat="1" applyFill="1" applyBorder="1" applyAlignment="1">
      <alignment horizontal="center"/>
    </xf>
    <xf numFmtId="9" fontId="12" fillId="12" borderId="9" xfId="0" applyNumberFormat="1" applyFont="1" applyFill="1" applyBorder="1" applyAlignment="1">
      <alignment horizontal="right"/>
    </xf>
    <xf numFmtId="0" fontId="12" fillId="12" borderId="9" xfId="0" applyFont="1" applyFill="1" applyBorder="1" applyAlignment="1">
      <alignment horizontal="right"/>
    </xf>
    <xf numFmtId="9" fontId="0" fillId="12" borderId="9" xfId="0" applyNumberForma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16" fillId="12" borderId="13" xfId="0" applyFont="1" applyFill="1" applyBorder="1" applyAlignment="1">
      <alignment horizontal="center"/>
    </xf>
    <xf numFmtId="0" fontId="16" fillId="12" borderId="14" xfId="0" applyFont="1" applyFill="1" applyBorder="1" applyAlignment="1">
      <alignment horizontal="center"/>
    </xf>
    <xf numFmtId="0" fontId="16" fillId="12" borderId="15" xfId="0" applyFont="1" applyFill="1" applyBorder="1" applyAlignment="1">
      <alignment horizontal="center"/>
    </xf>
    <xf numFmtId="0" fontId="0" fillId="11" borderId="21" xfId="0" applyFill="1" applyBorder="1" applyAlignment="1">
      <alignment horizontal="center"/>
    </xf>
  </cellXfs>
  <cellStyles count="8">
    <cellStyle name="Millares" xfId="1" builtinId="3"/>
    <cellStyle name="Millares 2_Libro1(1)" xfId="5"/>
    <cellStyle name="Moneda" xfId="2" builtinId="4"/>
    <cellStyle name="Normal" xfId="0" builtinId="0"/>
    <cellStyle name="Normal_1299 2" xfId="6"/>
    <cellStyle name="Normal_1299 2_Libro1(1)" xfId="4"/>
    <cellStyle name="Porcentual" xfId="3" builtinId="5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2:P82"/>
  <sheetViews>
    <sheetView showGridLines="0" topLeftCell="A25" workbookViewId="0">
      <selection activeCell="B47" sqref="B47:J47"/>
    </sheetView>
  </sheetViews>
  <sheetFormatPr baseColWidth="10" defaultRowHeight="12.75"/>
  <cols>
    <col min="1" max="1" width="2.7109375" style="2" customWidth="1"/>
    <col min="2" max="2" width="52.85546875" style="2" bestFit="1" customWidth="1"/>
    <col min="3" max="3" width="12.140625" style="2" customWidth="1"/>
    <col min="4" max="4" width="1.42578125" style="2" customWidth="1"/>
    <col min="5" max="5" width="8.5703125" style="2" customWidth="1"/>
    <col min="6" max="6" width="2.85546875" style="2" customWidth="1"/>
    <col min="7" max="7" width="8.7109375" style="2" bestFit="1" customWidth="1"/>
    <col min="8" max="8" width="3" style="2" customWidth="1"/>
    <col min="9" max="9" width="15.7109375" style="2" customWidth="1"/>
    <col min="10" max="10" width="15.85546875" style="2" bestFit="1" customWidth="1"/>
    <col min="11" max="11" width="2.7109375" style="2" customWidth="1"/>
    <col min="12" max="12" width="13.140625" style="2" customWidth="1"/>
    <col min="13" max="13" width="12.42578125" style="3" customWidth="1"/>
    <col min="14" max="16384" width="11.42578125" style="2"/>
  </cols>
  <sheetData>
    <row r="2" spans="2:16" ht="13.5" thickBot="1"/>
    <row r="3" spans="2:16" ht="13.5" thickBot="1">
      <c r="L3" s="210" t="s">
        <v>90</v>
      </c>
      <c r="M3" s="211"/>
      <c r="N3" s="211"/>
      <c r="O3" s="211"/>
      <c r="P3" s="212"/>
    </row>
    <row r="4" spans="2:16" ht="15" customHeight="1">
      <c r="B4" s="199" t="s">
        <v>0</v>
      </c>
      <c r="C4" s="200"/>
      <c r="D4" s="200"/>
      <c r="E4" s="200"/>
      <c r="F4" s="200"/>
      <c r="G4" s="200"/>
      <c r="H4" s="200"/>
      <c r="I4" s="200"/>
      <c r="J4" s="201"/>
      <c r="K4" s="1"/>
      <c r="L4" s="213" t="s">
        <v>4</v>
      </c>
      <c r="M4" s="213" t="s">
        <v>5</v>
      </c>
      <c r="N4" s="213" t="s">
        <v>6</v>
      </c>
      <c r="O4" s="213" t="s">
        <v>7</v>
      </c>
      <c r="P4" s="213" t="s">
        <v>8</v>
      </c>
    </row>
    <row r="5" spans="2:16" ht="14.25">
      <c r="B5" s="202" t="s">
        <v>95</v>
      </c>
      <c r="C5" s="203"/>
      <c r="D5" s="203"/>
      <c r="E5" s="203"/>
      <c r="F5" s="203"/>
      <c r="G5" s="203"/>
      <c r="H5" s="203"/>
      <c r="I5" s="203"/>
      <c r="J5" s="204"/>
      <c r="K5" s="1"/>
      <c r="L5" s="214"/>
      <c r="M5" s="214"/>
      <c r="N5" s="214"/>
      <c r="O5" s="214"/>
      <c r="P5" s="214"/>
    </row>
    <row r="6" spans="2:16" ht="15" thickBot="1">
      <c r="B6" s="202" t="s">
        <v>96</v>
      </c>
      <c r="C6" s="203"/>
      <c r="D6" s="203"/>
      <c r="E6" s="203"/>
      <c r="F6" s="203"/>
      <c r="G6" s="203"/>
      <c r="H6" s="203"/>
      <c r="I6" s="203"/>
      <c r="J6" s="204"/>
      <c r="L6" s="215"/>
      <c r="M6" s="215" t="s">
        <v>5</v>
      </c>
      <c r="N6" s="215"/>
      <c r="O6" s="215"/>
      <c r="P6" s="215"/>
    </row>
    <row r="7" spans="2:16" ht="15" customHeight="1">
      <c r="B7" s="84" t="s">
        <v>68</v>
      </c>
      <c r="C7" s="253" t="s">
        <v>97</v>
      </c>
      <c r="D7" s="254"/>
      <c r="E7" s="254"/>
      <c r="F7" s="254"/>
      <c r="G7" s="254"/>
      <c r="H7" s="254"/>
      <c r="I7" s="254"/>
      <c r="J7" s="255"/>
      <c r="L7" s="97" t="s">
        <v>9</v>
      </c>
      <c r="M7" s="72">
        <v>0</v>
      </c>
      <c r="N7" s="73">
        <v>0</v>
      </c>
      <c r="O7" s="73">
        <v>0</v>
      </c>
      <c r="P7" s="74">
        <v>0</v>
      </c>
    </row>
    <row r="8" spans="2:16" ht="15" customHeight="1">
      <c r="B8" s="85" t="s">
        <v>1</v>
      </c>
      <c r="C8" s="256">
        <v>19645069</v>
      </c>
      <c r="D8" s="257"/>
      <c r="E8" s="257"/>
      <c r="F8" s="257"/>
      <c r="G8" s="257"/>
      <c r="H8" s="257"/>
      <c r="I8" s="257"/>
      <c r="J8" s="258"/>
      <c r="L8" s="98" t="s">
        <v>12</v>
      </c>
      <c r="M8" s="9">
        <v>0</v>
      </c>
      <c r="N8" s="10">
        <v>0</v>
      </c>
      <c r="O8" s="10">
        <v>0</v>
      </c>
      <c r="P8" s="75">
        <v>0</v>
      </c>
    </row>
    <row r="9" spans="2:16" ht="15" customHeight="1">
      <c r="B9" s="85" t="s">
        <v>2</v>
      </c>
      <c r="C9" s="259" t="s">
        <v>98</v>
      </c>
      <c r="D9" s="260"/>
      <c r="E9" s="260"/>
      <c r="F9" s="260"/>
      <c r="G9" s="260"/>
      <c r="H9" s="260"/>
      <c r="I9" s="260"/>
      <c r="J9" s="261"/>
      <c r="L9" s="98" t="s">
        <v>15</v>
      </c>
      <c r="M9" s="9">
        <v>0</v>
      </c>
      <c r="N9" s="10">
        <v>0</v>
      </c>
      <c r="O9" s="10">
        <v>0</v>
      </c>
      <c r="P9" s="75">
        <v>0</v>
      </c>
    </row>
    <row r="10" spans="2:16" ht="15" customHeight="1" thickBot="1">
      <c r="B10" s="86" t="s">
        <v>3</v>
      </c>
      <c r="C10" s="262" t="s">
        <v>99</v>
      </c>
      <c r="D10" s="263"/>
      <c r="E10" s="263"/>
      <c r="F10" s="263"/>
      <c r="G10" s="263"/>
      <c r="H10" s="263"/>
      <c r="I10" s="263"/>
      <c r="J10" s="264"/>
      <c r="L10" s="98" t="s">
        <v>18</v>
      </c>
      <c r="M10" s="9">
        <v>0</v>
      </c>
      <c r="N10" s="10">
        <v>0</v>
      </c>
      <c r="O10" s="10">
        <v>0</v>
      </c>
      <c r="P10" s="75">
        <v>0</v>
      </c>
    </row>
    <row r="11" spans="2:16" ht="14.25" customHeight="1" thickBot="1">
      <c r="B11" s="265"/>
      <c r="C11" s="266"/>
      <c r="D11" s="266"/>
      <c r="E11" s="266"/>
      <c r="F11" s="266"/>
      <c r="G11" s="266"/>
      <c r="H11" s="266"/>
      <c r="I11" s="266"/>
      <c r="J11" s="267"/>
      <c r="L11" s="98" t="s">
        <v>21</v>
      </c>
      <c r="M11" s="9">
        <v>0</v>
      </c>
      <c r="N11" s="10">
        <v>0</v>
      </c>
      <c r="O11" s="10">
        <v>0</v>
      </c>
      <c r="P11" s="75">
        <v>0</v>
      </c>
    </row>
    <row r="12" spans="2:16" ht="19.5" customHeight="1" thickBot="1">
      <c r="B12" s="205" t="s">
        <v>10</v>
      </c>
      <c r="C12" s="206"/>
      <c r="D12" s="207"/>
      <c r="E12" s="275"/>
      <c r="F12" s="225" t="s">
        <v>11</v>
      </c>
      <c r="G12" s="226"/>
      <c r="H12" s="226"/>
      <c r="I12" s="226"/>
      <c r="J12" s="227"/>
      <c r="L12" s="98" t="s">
        <v>23</v>
      </c>
      <c r="M12" s="9">
        <v>0</v>
      </c>
      <c r="N12" s="10">
        <v>0</v>
      </c>
      <c r="O12" s="10">
        <v>0</v>
      </c>
      <c r="P12" s="75">
        <v>0</v>
      </c>
    </row>
    <row r="13" spans="2:16">
      <c r="B13" s="91" t="s">
        <v>13</v>
      </c>
      <c r="C13" s="208">
        <v>41238</v>
      </c>
      <c r="D13" s="209"/>
      <c r="E13" s="276"/>
      <c r="F13" s="268" t="s">
        <v>14</v>
      </c>
      <c r="G13" s="269"/>
      <c r="H13" s="269"/>
      <c r="I13" s="269"/>
      <c r="J13" s="15">
        <v>1000000</v>
      </c>
      <c r="L13" s="98" t="s">
        <v>24</v>
      </c>
      <c r="M13" s="9">
        <v>0</v>
      </c>
      <c r="N13" s="10">
        <v>0</v>
      </c>
      <c r="O13" s="10">
        <v>0</v>
      </c>
      <c r="P13" s="75">
        <v>0</v>
      </c>
    </row>
    <row r="14" spans="2:16" ht="13.5" thickBot="1">
      <c r="B14" s="92" t="s">
        <v>16</v>
      </c>
      <c r="C14" s="197">
        <v>40469</v>
      </c>
      <c r="D14" s="198"/>
      <c r="E14" s="276"/>
      <c r="F14" s="270" t="s">
        <v>17</v>
      </c>
      <c r="G14" s="271"/>
      <c r="H14" s="271"/>
      <c r="I14" s="271"/>
      <c r="J14" s="15">
        <v>72000</v>
      </c>
      <c r="L14" s="98" t="s">
        <v>25</v>
      </c>
      <c r="M14" s="9">
        <v>0</v>
      </c>
      <c r="N14" s="10">
        <v>0</v>
      </c>
      <c r="O14" s="10">
        <v>0</v>
      </c>
      <c r="P14" s="75">
        <v>0</v>
      </c>
    </row>
    <row r="15" spans="2:16" ht="13.5" thickBot="1">
      <c r="B15" s="93" t="s">
        <v>19</v>
      </c>
      <c r="C15" s="281">
        <f>DAYS360(C14,C13)+1</f>
        <v>758</v>
      </c>
      <c r="D15" s="282"/>
      <c r="E15" s="276"/>
      <c r="F15" s="270" t="s">
        <v>20</v>
      </c>
      <c r="G15" s="271"/>
      <c r="H15" s="271"/>
      <c r="I15" s="271"/>
      <c r="J15" s="15">
        <f>+P21</f>
        <v>0</v>
      </c>
      <c r="L15" s="98" t="s">
        <v>28</v>
      </c>
      <c r="M15" s="9">
        <v>0</v>
      </c>
      <c r="N15" s="10">
        <v>0</v>
      </c>
      <c r="O15" s="10">
        <v>0</v>
      </c>
      <c r="P15" s="75">
        <v>0</v>
      </c>
    </row>
    <row r="16" spans="2:16" ht="13.5" thickBot="1">
      <c r="B16" s="95"/>
      <c r="C16" s="252"/>
      <c r="D16" s="252"/>
      <c r="E16" s="277"/>
      <c r="F16" s="87" t="s">
        <v>22</v>
      </c>
      <c r="G16" s="88"/>
      <c r="H16" s="89"/>
      <c r="I16" s="90"/>
      <c r="J16" s="96">
        <f>SUM(J13:J15)</f>
        <v>1072000</v>
      </c>
      <c r="L16" s="98" t="s">
        <v>31</v>
      </c>
      <c r="M16" s="9">
        <v>0</v>
      </c>
      <c r="N16" s="10">
        <v>0</v>
      </c>
      <c r="O16" s="10">
        <v>0</v>
      </c>
      <c r="P16" s="75">
        <v>0</v>
      </c>
    </row>
    <row r="17" spans="2:16" ht="15.75" customHeight="1">
      <c r="B17" s="278"/>
      <c r="C17" s="279"/>
      <c r="D17" s="279"/>
      <c r="E17" s="279"/>
      <c r="F17" s="279"/>
      <c r="G17" s="279"/>
      <c r="H17" s="279"/>
      <c r="I17" s="279"/>
      <c r="J17" s="280"/>
      <c r="L17" s="98" t="s">
        <v>34</v>
      </c>
      <c r="M17" s="9">
        <v>0</v>
      </c>
      <c r="N17" s="10">
        <v>0</v>
      </c>
      <c r="O17" s="10">
        <v>0</v>
      </c>
      <c r="P17" s="75">
        <v>0</v>
      </c>
    </row>
    <row r="18" spans="2:16" ht="15.75" customHeight="1" thickBot="1">
      <c r="B18" s="278"/>
      <c r="C18" s="279"/>
      <c r="D18" s="279"/>
      <c r="E18" s="279"/>
      <c r="F18" s="279"/>
      <c r="G18" s="279"/>
      <c r="H18" s="279"/>
      <c r="I18" s="279"/>
      <c r="J18" s="280"/>
      <c r="L18" s="99" t="s">
        <v>37</v>
      </c>
      <c r="M18" s="71">
        <v>0</v>
      </c>
      <c r="N18" s="76">
        <v>0</v>
      </c>
      <c r="O18" s="76">
        <v>0</v>
      </c>
      <c r="P18" s="77">
        <v>0</v>
      </c>
    </row>
    <row r="19" spans="2:16" ht="15.75" customHeight="1" thickBot="1">
      <c r="B19" s="243" t="s">
        <v>26</v>
      </c>
      <c r="C19" s="244"/>
      <c r="D19" s="5"/>
      <c r="E19" s="243" t="s">
        <v>27</v>
      </c>
      <c r="F19" s="245"/>
      <c r="G19" s="245"/>
      <c r="H19" s="245"/>
      <c r="I19" s="245"/>
      <c r="J19" s="244"/>
      <c r="L19" s="78" t="s">
        <v>86</v>
      </c>
      <c r="M19" s="79">
        <f>SUM(M7:M18)</f>
        <v>0</v>
      </c>
      <c r="N19" s="79">
        <f t="shared" ref="N19:P19" si="0">SUM(N7:N18)</f>
        <v>0</v>
      </c>
      <c r="O19" s="79">
        <f t="shared" si="0"/>
        <v>0</v>
      </c>
      <c r="P19" s="79">
        <f t="shared" si="0"/>
        <v>0</v>
      </c>
    </row>
    <row r="20" spans="2:16" ht="13.5" thickBot="1">
      <c r="B20" s="91" t="s">
        <v>29</v>
      </c>
      <c r="C20" s="20">
        <v>41090</v>
      </c>
      <c r="D20" s="5"/>
      <c r="E20" s="237" t="s">
        <v>30</v>
      </c>
      <c r="F20" s="238"/>
      <c r="G20" s="238"/>
      <c r="H20" s="238"/>
      <c r="I20" s="239"/>
      <c r="J20" s="20">
        <v>40909</v>
      </c>
      <c r="L20" s="80" t="s">
        <v>87</v>
      </c>
      <c r="M20" s="81">
        <f>AVERAGE(M7:M18)</f>
        <v>0</v>
      </c>
      <c r="N20" s="81">
        <f t="shared" ref="N20:P20" si="1">AVERAGE(N7:N18)</f>
        <v>0</v>
      </c>
      <c r="O20" s="81">
        <f t="shared" si="1"/>
        <v>0</v>
      </c>
      <c r="P20" s="81">
        <f t="shared" si="1"/>
        <v>0</v>
      </c>
    </row>
    <row r="21" spans="2:16" ht="13.5" thickBot="1">
      <c r="B21" s="92" t="s">
        <v>32</v>
      </c>
      <c r="C21" s="21">
        <f>+C13</f>
        <v>41238</v>
      </c>
      <c r="D21" s="5"/>
      <c r="E21" s="228" t="s">
        <v>33</v>
      </c>
      <c r="F21" s="229"/>
      <c r="G21" s="229"/>
      <c r="H21" s="229"/>
      <c r="I21" s="230"/>
      <c r="J21" s="21">
        <f>+C13</f>
        <v>41238</v>
      </c>
      <c r="N21" s="23"/>
      <c r="O21" s="24"/>
      <c r="P21" s="82">
        <f>SUM(M20:P20)</f>
        <v>0</v>
      </c>
    </row>
    <row r="22" spans="2:16" ht="13.5" thickBot="1">
      <c r="B22" s="93" t="s">
        <v>35</v>
      </c>
      <c r="C22" s="94">
        <f>DAYS360(C20,C21)</f>
        <v>145</v>
      </c>
      <c r="D22" s="5"/>
      <c r="E22" s="240" t="s">
        <v>36</v>
      </c>
      <c r="F22" s="241"/>
      <c r="G22" s="241"/>
      <c r="H22" s="241"/>
      <c r="I22" s="242"/>
      <c r="J22" s="94">
        <f>DAYS360(J20,J21)</f>
        <v>324</v>
      </c>
      <c r="M22" s="22"/>
      <c r="N22" s="23"/>
      <c r="O22" s="24"/>
      <c r="P22" s="24"/>
    </row>
    <row r="23" spans="2:16" ht="13.5" thickBot="1">
      <c r="B23" s="16"/>
      <c r="C23" s="11"/>
      <c r="D23" s="5"/>
      <c r="E23" s="5"/>
      <c r="F23" s="5"/>
      <c r="G23" s="5"/>
      <c r="H23" s="13"/>
      <c r="I23" s="14"/>
      <c r="J23" s="15"/>
      <c r="M23" s="22"/>
      <c r="N23" s="23"/>
      <c r="O23" s="24"/>
      <c r="P23" s="24"/>
    </row>
    <row r="24" spans="2:16" ht="13.5" thickBot="1">
      <c r="B24" s="243" t="s">
        <v>38</v>
      </c>
      <c r="C24" s="244"/>
      <c r="D24" s="5"/>
      <c r="E24" s="243" t="s">
        <v>39</v>
      </c>
      <c r="F24" s="245"/>
      <c r="G24" s="245"/>
      <c r="H24" s="245"/>
      <c r="I24" s="245"/>
      <c r="J24" s="244"/>
      <c r="M24" s="22"/>
      <c r="N24" s="23"/>
      <c r="O24" s="24"/>
      <c r="P24" s="24"/>
    </row>
    <row r="25" spans="2:16">
      <c r="B25" s="91" t="s">
        <v>40</v>
      </c>
      <c r="C25" s="20">
        <v>41200</v>
      </c>
      <c r="D25" s="5"/>
      <c r="E25" s="237" t="s">
        <v>41</v>
      </c>
      <c r="F25" s="238"/>
      <c r="G25" s="238"/>
      <c r="H25" s="238"/>
      <c r="I25" s="239"/>
      <c r="J25" s="20">
        <f>+J20</f>
        <v>40909</v>
      </c>
      <c r="M25" s="22"/>
      <c r="N25" s="23"/>
      <c r="O25" s="24"/>
      <c r="P25" s="24"/>
    </row>
    <row r="26" spans="2:16" ht="13.5" thickBot="1">
      <c r="B26" s="92" t="s">
        <v>42</v>
      </c>
      <c r="C26" s="21">
        <f>+C13</f>
        <v>41238</v>
      </c>
      <c r="D26" s="5"/>
      <c r="E26" s="228" t="s">
        <v>43</v>
      </c>
      <c r="F26" s="229"/>
      <c r="G26" s="229"/>
      <c r="H26" s="229"/>
      <c r="I26" s="230"/>
      <c r="J26" s="21">
        <f>+J21</f>
        <v>41238</v>
      </c>
      <c r="M26" s="22"/>
      <c r="N26" s="23"/>
      <c r="O26" s="24"/>
      <c r="P26" s="24"/>
    </row>
    <row r="27" spans="2:16" ht="13.5" thickBot="1">
      <c r="B27" s="101" t="s">
        <v>44</v>
      </c>
      <c r="C27" s="94">
        <f>(15*(C26-C25-$J$17)/360)</f>
        <v>1.5833333333333333</v>
      </c>
      <c r="D27" s="5"/>
      <c r="E27" s="231" t="s">
        <v>45</v>
      </c>
      <c r="F27" s="232"/>
      <c r="G27" s="232"/>
      <c r="H27" s="232"/>
      <c r="I27" s="233"/>
      <c r="J27" s="149">
        <f>(DAYS360(J25,J26)*12%)/360</f>
        <v>0.10799999999999998</v>
      </c>
      <c r="M27" s="26"/>
    </row>
    <row r="28" spans="2:16" ht="13.5" thickBot="1">
      <c r="B28" s="19" t="s">
        <v>46</v>
      </c>
      <c r="C28" s="25">
        <v>0</v>
      </c>
      <c r="D28" s="5"/>
      <c r="E28" s="5"/>
      <c r="F28" s="5"/>
      <c r="G28" s="5"/>
      <c r="H28" s="13"/>
      <c r="I28" s="14"/>
      <c r="J28" s="15"/>
      <c r="M28" s="26"/>
    </row>
    <row r="29" spans="2:16" ht="13.5" thickBot="1">
      <c r="B29" s="100" t="s">
        <v>47</v>
      </c>
      <c r="C29" s="94">
        <f>+C27-C28</f>
        <v>1.5833333333333333</v>
      </c>
      <c r="D29" s="5"/>
      <c r="E29" s="5"/>
      <c r="F29" s="5"/>
      <c r="G29" s="5"/>
      <c r="H29" s="13"/>
      <c r="I29" s="14"/>
      <c r="J29" s="15"/>
      <c r="M29" s="2"/>
    </row>
    <row r="30" spans="2:16" ht="7.5" customHeight="1" thickBot="1">
      <c r="B30" s="16"/>
      <c r="C30" s="11"/>
      <c r="D30" s="5"/>
      <c r="E30" s="5"/>
      <c r="F30" s="5"/>
      <c r="G30" s="5"/>
      <c r="H30" s="13"/>
      <c r="I30" s="14"/>
      <c r="J30" s="15"/>
      <c r="M30" s="2"/>
    </row>
    <row r="31" spans="2:16" ht="17.25" customHeight="1" thickBot="1">
      <c r="B31" s="225" t="s">
        <v>48</v>
      </c>
      <c r="C31" s="226"/>
      <c r="D31" s="226"/>
      <c r="E31" s="226"/>
      <c r="F31" s="226"/>
      <c r="G31" s="226"/>
      <c r="H31" s="226"/>
      <c r="I31" s="226"/>
      <c r="J31" s="227"/>
      <c r="M31" s="2"/>
    </row>
    <row r="32" spans="2:16">
      <c r="B32" s="102" t="s">
        <v>89</v>
      </c>
      <c r="C32" s="129">
        <f>J16-J14</f>
        <v>1000000</v>
      </c>
      <c r="D32" s="118" t="s">
        <v>49</v>
      </c>
      <c r="E32" s="130">
        <f>C29</f>
        <v>1.5833333333333333</v>
      </c>
      <c r="F32" s="118" t="s">
        <v>51</v>
      </c>
      <c r="G32" s="131">
        <v>30</v>
      </c>
      <c r="H32" s="118" t="s">
        <v>91</v>
      </c>
      <c r="I32" s="132"/>
      <c r="J32" s="109">
        <f>((C32/G32)*E32)</f>
        <v>52777.777777777781</v>
      </c>
      <c r="M32" s="2"/>
    </row>
    <row r="33" spans="2:13" hidden="1">
      <c r="B33" s="103" t="s">
        <v>50</v>
      </c>
      <c r="C33" s="133">
        <f>J16</f>
        <v>1072000</v>
      </c>
      <c r="D33" s="105" t="s">
        <v>49</v>
      </c>
      <c r="E33" s="106">
        <v>360</v>
      </c>
      <c r="F33" s="105" t="s">
        <v>51</v>
      </c>
      <c r="G33" s="106">
        <f>J22-$J$17</f>
        <v>324</v>
      </c>
      <c r="H33" s="107" t="s">
        <v>52</v>
      </c>
      <c r="I33" s="134"/>
      <c r="J33" s="109">
        <f>((C33*G33)/E33)</f>
        <v>964800</v>
      </c>
      <c r="M33" s="2"/>
    </row>
    <row r="34" spans="2:13" hidden="1">
      <c r="B34" s="103" t="s">
        <v>53</v>
      </c>
      <c r="C34" s="133">
        <f>$J$33</f>
        <v>964800</v>
      </c>
      <c r="D34" s="105" t="s">
        <v>49</v>
      </c>
      <c r="E34" s="106">
        <v>360</v>
      </c>
      <c r="F34" s="105" t="s">
        <v>51</v>
      </c>
      <c r="G34" s="106">
        <f>J27-$J$17</f>
        <v>0.10799999999999998</v>
      </c>
      <c r="H34" s="108" t="s">
        <v>54</v>
      </c>
      <c r="I34" s="135">
        <v>0.12</v>
      </c>
      <c r="J34" s="109">
        <f>((C34*G34*I34)/E34)</f>
        <v>34.73279999999999</v>
      </c>
      <c r="M34" s="2"/>
    </row>
    <row r="35" spans="2:13">
      <c r="B35" s="103" t="s">
        <v>55</v>
      </c>
      <c r="C35" s="133">
        <f>J16</f>
        <v>1072000</v>
      </c>
      <c r="D35" s="105" t="s">
        <v>49</v>
      </c>
      <c r="E35" s="106">
        <v>360</v>
      </c>
      <c r="F35" s="105" t="s">
        <v>51</v>
      </c>
      <c r="G35" s="106">
        <f>C22</f>
        <v>145</v>
      </c>
      <c r="H35" s="107" t="s">
        <v>91</v>
      </c>
      <c r="I35" s="134"/>
      <c r="J35" s="109">
        <f>((C35*G35)/E35)</f>
        <v>431777.77777777775</v>
      </c>
      <c r="M35" s="2"/>
    </row>
    <row r="36" spans="2:13">
      <c r="B36" s="103" t="s">
        <v>50</v>
      </c>
      <c r="C36" s="133">
        <f>+C35</f>
        <v>1072000</v>
      </c>
      <c r="D36" s="105" t="s">
        <v>49</v>
      </c>
      <c r="E36" s="106">
        <v>360</v>
      </c>
      <c r="F36" s="105" t="s">
        <v>51</v>
      </c>
      <c r="G36" s="106">
        <f>+J22</f>
        <v>324</v>
      </c>
      <c r="H36" s="107" t="s">
        <v>91</v>
      </c>
      <c r="I36" s="134"/>
      <c r="J36" s="109">
        <f>((C36*G36)/E36)</f>
        <v>964800</v>
      </c>
      <c r="M36" s="2"/>
    </row>
    <row r="37" spans="2:13">
      <c r="B37" s="103" t="s">
        <v>53</v>
      </c>
      <c r="C37" s="133">
        <f>+J36</f>
        <v>964800</v>
      </c>
      <c r="D37" s="105"/>
      <c r="E37" s="136"/>
      <c r="F37" s="105" t="s">
        <v>51</v>
      </c>
      <c r="G37" s="136">
        <f>+J27</f>
        <v>0.10799999999999998</v>
      </c>
      <c r="H37" s="107" t="s">
        <v>91</v>
      </c>
      <c r="I37" s="134"/>
      <c r="J37" s="109">
        <f>+$C$37*'Prestaciones Sociales YECID '!G37</f>
        <v>104198.39999999998</v>
      </c>
      <c r="M37" s="2"/>
    </row>
    <row r="38" spans="2:13" ht="13.5" thickBot="1">
      <c r="B38" s="104" t="s">
        <v>102</v>
      </c>
      <c r="C38" s="137">
        <f>J13</f>
        <v>1000000</v>
      </c>
      <c r="D38" s="138" t="s">
        <v>100</v>
      </c>
      <c r="E38" s="125">
        <f>J14</f>
        <v>72000</v>
      </c>
      <c r="F38" s="138" t="s">
        <v>49</v>
      </c>
      <c r="G38" s="125">
        <v>30</v>
      </c>
      <c r="H38" s="139" t="s">
        <v>101</v>
      </c>
      <c r="I38" s="140">
        <v>25</v>
      </c>
      <c r="J38" s="109">
        <f>((C38+E38)/G38)*I38</f>
        <v>893333.33333333337</v>
      </c>
      <c r="M38" s="2"/>
    </row>
    <row r="39" spans="2:13" ht="15" thickBot="1">
      <c r="B39" s="234" t="s">
        <v>56</v>
      </c>
      <c r="C39" s="235"/>
      <c r="D39" s="235"/>
      <c r="E39" s="235"/>
      <c r="F39" s="235"/>
      <c r="G39" s="235"/>
      <c r="H39" s="235"/>
      <c r="I39" s="236"/>
      <c r="J39" s="110">
        <f>SUM(J32:J38)</f>
        <v>3411722.0216888888</v>
      </c>
      <c r="M39" s="2"/>
    </row>
    <row r="40" spans="2:13" ht="18.75" customHeight="1" thickBot="1">
      <c r="B40" s="205" t="s">
        <v>57</v>
      </c>
      <c r="C40" s="206"/>
      <c r="D40" s="206"/>
      <c r="E40" s="206"/>
      <c r="F40" s="206"/>
      <c r="G40" s="206"/>
      <c r="H40" s="206"/>
      <c r="I40" s="206"/>
      <c r="J40" s="207"/>
      <c r="M40" s="2"/>
    </row>
    <row r="41" spans="2:13" ht="13.5" thickBot="1">
      <c r="B41" s="116" t="s">
        <v>58</v>
      </c>
      <c r="C41" s="117">
        <v>0.04</v>
      </c>
      <c r="D41" s="118"/>
      <c r="E41" s="119">
        <f>(J13/30)*25</f>
        <v>833333.33333333337</v>
      </c>
      <c r="F41" s="120"/>
      <c r="G41" s="119"/>
      <c r="H41" s="121"/>
      <c r="I41" s="122"/>
      <c r="J41" s="146">
        <f>(SUM(E41:G41)*-C41)</f>
        <v>-33333.333333333336</v>
      </c>
      <c r="L41" s="83">
        <f>J39-J44</f>
        <v>3478388.6883555553</v>
      </c>
      <c r="M41" s="2"/>
    </row>
    <row r="42" spans="2:13">
      <c r="B42" s="111" t="s">
        <v>59</v>
      </c>
      <c r="C42" s="112">
        <v>0.04</v>
      </c>
      <c r="D42" s="105"/>
      <c r="E42" s="119">
        <f>(J13/30)*25</f>
        <v>833333.33333333337</v>
      </c>
      <c r="F42" s="114"/>
      <c r="G42" s="114"/>
      <c r="H42" s="113"/>
      <c r="I42" s="123"/>
      <c r="J42" s="147">
        <f>(SUM(E42:G42)*-C42)</f>
        <v>-33333.333333333336</v>
      </c>
      <c r="M42" s="2"/>
    </row>
    <row r="43" spans="2:13" ht="13.5" thickBot="1">
      <c r="B43" s="124" t="s">
        <v>60</v>
      </c>
      <c r="C43" s="125"/>
      <c r="D43" s="126"/>
      <c r="E43" s="127"/>
      <c r="F43" s="127"/>
      <c r="G43" s="127"/>
      <c r="H43" s="125"/>
      <c r="I43" s="128"/>
      <c r="J43" s="148">
        <f>SUM(E43:G43)</f>
        <v>0</v>
      </c>
      <c r="M43" s="2"/>
    </row>
    <row r="44" spans="2:13" ht="15" thickBot="1">
      <c r="B44" s="234" t="s">
        <v>61</v>
      </c>
      <c r="C44" s="235"/>
      <c r="D44" s="235"/>
      <c r="E44" s="235"/>
      <c r="F44" s="235"/>
      <c r="G44" s="235"/>
      <c r="H44" s="235"/>
      <c r="I44" s="236"/>
      <c r="J44" s="115">
        <f>SUM(J41:J43)</f>
        <v>-66666.666666666672</v>
      </c>
      <c r="K44" s="33"/>
      <c r="M44" s="2"/>
    </row>
    <row r="45" spans="2:13" ht="3.75" customHeight="1" thickBot="1">
      <c r="B45" s="17"/>
      <c r="C45" s="27"/>
      <c r="D45" s="33"/>
      <c r="E45" s="33"/>
      <c r="F45" s="32"/>
      <c r="G45" s="32"/>
      <c r="H45" s="30"/>
      <c r="I45" s="32"/>
      <c r="J45" s="34"/>
      <c r="K45" s="33"/>
      <c r="M45" s="2"/>
    </row>
    <row r="46" spans="2:13" ht="15" thickBot="1">
      <c r="B46" s="141" t="s">
        <v>62</v>
      </c>
      <c r="C46" s="142"/>
      <c r="D46" s="143"/>
      <c r="E46" s="143"/>
      <c r="F46" s="144"/>
      <c r="G46" s="144"/>
      <c r="H46" s="145"/>
      <c r="I46" s="144"/>
      <c r="J46" s="115">
        <f>J16+J44</f>
        <v>1005333.3333333334</v>
      </c>
      <c r="K46" s="33"/>
      <c r="M46" s="2"/>
    </row>
    <row r="47" spans="2:13" ht="36.75" customHeight="1" thickBot="1">
      <c r="B47" s="272" t="str">
        <f>PesosMN(J46)</f>
        <v>SON: ( UN MILLON CINCO MIL TRESCIENTOS TREINTA Y TRES PESOS 33/100 M.N.)</v>
      </c>
      <c r="C47" s="273"/>
      <c r="D47" s="273"/>
      <c r="E47" s="273"/>
      <c r="F47" s="273"/>
      <c r="G47" s="273"/>
      <c r="H47" s="273"/>
      <c r="I47" s="273"/>
      <c r="J47" s="274"/>
      <c r="K47" s="33"/>
      <c r="M47" s="2"/>
    </row>
    <row r="48" spans="2:13" ht="15" customHeight="1">
      <c r="B48" s="246" t="s">
        <v>63</v>
      </c>
      <c r="C48" s="247"/>
      <c r="D48" s="247"/>
      <c r="E48" s="247"/>
      <c r="F48" s="247"/>
      <c r="G48" s="247"/>
      <c r="H48" s="247"/>
      <c r="I48" s="247"/>
      <c r="J48" s="248"/>
      <c r="K48" s="36"/>
      <c r="M48" s="2"/>
    </row>
    <row r="49" spans="2:13" ht="13.5" thickBot="1">
      <c r="B49" s="249"/>
      <c r="C49" s="250"/>
      <c r="D49" s="250"/>
      <c r="E49" s="250"/>
      <c r="F49" s="250"/>
      <c r="G49" s="250"/>
      <c r="H49" s="250"/>
      <c r="I49" s="250"/>
      <c r="J49" s="251"/>
      <c r="K49" s="36"/>
      <c r="M49" s="2"/>
    </row>
    <row r="50" spans="2:13">
      <c r="B50" s="216" t="s">
        <v>64</v>
      </c>
      <c r="C50" s="217"/>
      <c r="D50" s="217"/>
      <c r="E50" s="217"/>
      <c r="F50" s="217"/>
      <c r="G50" s="217"/>
      <c r="H50" s="217"/>
      <c r="I50" s="217"/>
      <c r="J50" s="218"/>
      <c r="K50" s="36"/>
      <c r="M50" s="2"/>
    </row>
    <row r="51" spans="2:13">
      <c r="B51" s="219"/>
      <c r="C51" s="220"/>
      <c r="D51" s="220"/>
      <c r="E51" s="220"/>
      <c r="F51" s="220"/>
      <c r="G51" s="220"/>
      <c r="H51" s="220"/>
      <c r="I51" s="220"/>
      <c r="J51" s="221"/>
      <c r="M51" s="2"/>
    </row>
    <row r="52" spans="2:13">
      <c r="B52" s="219"/>
      <c r="C52" s="220"/>
      <c r="D52" s="220"/>
      <c r="E52" s="220"/>
      <c r="F52" s="220"/>
      <c r="G52" s="220"/>
      <c r="H52" s="220"/>
      <c r="I52" s="220"/>
      <c r="J52" s="221"/>
      <c r="M52" s="2"/>
    </row>
    <row r="53" spans="2:13" ht="13.5" thickBot="1">
      <c r="B53" s="219"/>
      <c r="C53" s="220"/>
      <c r="D53" s="220"/>
      <c r="E53" s="220"/>
      <c r="F53" s="220"/>
      <c r="G53" s="220"/>
      <c r="H53" s="220"/>
      <c r="I53" s="220"/>
      <c r="J53" s="221"/>
      <c r="M53" s="2"/>
    </row>
    <row r="54" spans="2:13">
      <c r="B54" s="216" t="s">
        <v>88</v>
      </c>
      <c r="C54" s="217"/>
      <c r="D54" s="217"/>
      <c r="E54" s="217"/>
      <c r="F54" s="217"/>
      <c r="G54" s="217"/>
      <c r="H54" s="217"/>
      <c r="I54" s="217"/>
      <c r="J54" s="218"/>
      <c r="K54" s="36"/>
      <c r="M54" s="2"/>
    </row>
    <row r="55" spans="2:13">
      <c r="B55" s="219"/>
      <c r="C55" s="220"/>
      <c r="D55" s="220"/>
      <c r="E55" s="220"/>
      <c r="F55" s="220"/>
      <c r="G55" s="220"/>
      <c r="H55" s="220"/>
      <c r="I55" s="220"/>
      <c r="J55" s="221"/>
      <c r="M55" s="2"/>
    </row>
    <row r="56" spans="2:13">
      <c r="B56" s="219"/>
      <c r="C56" s="220"/>
      <c r="D56" s="220"/>
      <c r="E56" s="220"/>
      <c r="F56" s="220"/>
      <c r="G56" s="220"/>
      <c r="H56" s="220"/>
      <c r="I56" s="220"/>
      <c r="J56" s="221"/>
      <c r="M56" s="2"/>
    </row>
    <row r="57" spans="2:13" ht="13.5" thickBot="1">
      <c r="B57" s="222"/>
      <c r="C57" s="223"/>
      <c r="D57" s="223"/>
      <c r="E57" s="223"/>
      <c r="F57" s="223"/>
      <c r="G57" s="223"/>
      <c r="H57" s="223"/>
      <c r="I57" s="223"/>
      <c r="J57" s="224"/>
      <c r="M57" s="2"/>
    </row>
    <row r="58" spans="2:13">
      <c r="B58" s="219"/>
      <c r="C58" s="220"/>
      <c r="D58" s="220"/>
      <c r="E58" s="220"/>
      <c r="F58" s="220"/>
      <c r="G58" s="220"/>
      <c r="H58" s="220"/>
      <c r="I58" s="220"/>
      <c r="J58" s="221"/>
      <c r="M58" s="2"/>
    </row>
    <row r="59" spans="2:13">
      <c r="B59" s="219"/>
      <c r="C59" s="220"/>
      <c r="D59" s="220"/>
      <c r="E59" s="220"/>
      <c r="F59" s="220"/>
      <c r="G59" s="220"/>
      <c r="H59" s="220"/>
      <c r="I59" s="220"/>
      <c r="J59" s="221"/>
      <c r="M59" s="2"/>
    </row>
    <row r="60" spans="2:13">
      <c r="B60" s="219"/>
      <c r="C60" s="220"/>
      <c r="D60" s="220"/>
      <c r="E60" s="220"/>
      <c r="F60" s="220"/>
      <c r="G60" s="220"/>
      <c r="H60" s="220"/>
      <c r="I60" s="220"/>
      <c r="J60" s="221"/>
      <c r="M60" s="2"/>
    </row>
    <row r="61" spans="2:13">
      <c r="B61" s="12"/>
      <c r="C61" s="5"/>
      <c r="D61" s="5"/>
      <c r="E61" s="5"/>
      <c r="F61" s="5"/>
      <c r="G61" s="5"/>
      <c r="H61" s="5"/>
      <c r="I61" s="5"/>
      <c r="J61" s="6"/>
      <c r="M61" s="2"/>
    </row>
    <row r="62" spans="2:13">
      <c r="B62" s="12"/>
      <c r="C62" s="5"/>
      <c r="D62" s="5"/>
      <c r="E62" s="5"/>
      <c r="F62" s="32"/>
      <c r="G62" s="32"/>
      <c r="H62" s="32"/>
      <c r="I62" s="37"/>
      <c r="J62" s="38"/>
      <c r="M62" s="2"/>
    </row>
    <row r="63" spans="2:13">
      <c r="B63" s="39"/>
      <c r="C63" s="5"/>
      <c r="D63" s="5"/>
      <c r="E63" s="4"/>
      <c r="F63" s="32"/>
      <c r="G63" s="32"/>
      <c r="H63" s="32"/>
      <c r="I63" s="4" t="s">
        <v>65</v>
      </c>
      <c r="J63" s="6"/>
      <c r="M63" s="2"/>
    </row>
    <row r="64" spans="2:13">
      <c r="B64" s="17" t="s">
        <v>66</v>
      </c>
      <c r="C64" s="5"/>
      <c r="D64" s="5"/>
      <c r="E64" s="5"/>
      <c r="F64" s="5"/>
      <c r="G64" s="5"/>
      <c r="H64" s="5"/>
      <c r="I64" s="4" t="s">
        <v>94</v>
      </c>
      <c r="J64" s="6"/>
      <c r="M64" s="2"/>
    </row>
    <row r="65" spans="2:13">
      <c r="B65" s="17" t="s">
        <v>67</v>
      </c>
      <c r="C65" s="5"/>
      <c r="D65" s="5"/>
      <c r="E65" s="5"/>
      <c r="F65" s="5"/>
      <c r="G65" s="5"/>
      <c r="H65" s="5"/>
      <c r="I65" s="4"/>
      <c r="J65" s="6"/>
      <c r="M65" s="2"/>
    </row>
    <row r="66" spans="2:13">
      <c r="B66" s="12"/>
      <c r="C66" s="5"/>
      <c r="D66" s="13"/>
      <c r="E66" s="5"/>
      <c r="F66" s="5"/>
      <c r="G66" s="5"/>
      <c r="H66" s="5"/>
      <c r="I66" s="5"/>
      <c r="J66" s="6"/>
      <c r="M66" s="2"/>
    </row>
    <row r="67" spans="2:13" ht="13.5" thickBot="1">
      <c r="B67" s="40"/>
      <c r="C67" s="7"/>
      <c r="D67" s="41"/>
      <c r="E67" s="42"/>
      <c r="F67" s="7"/>
      <c r="G67" s="18"/>
      <c r="H67" s="43"/>
      <c r="I67" s="7"/>
      <c r="J67" s="8"/>
      <c r="M67" s="2"/>
    </row>
    <row r="68" spans="2:13">
      <c r="B68" s="35"/>
      <c r="C68" s="5"/>
      <c r="D68" s="28"/>
      <c r="E68" s="44"/>
      <c r="F68" s="45"/>
      <c r="G68" s="46"/>
      <c r="H68" s="47"/>
      <c r="I68" s="31"/>
      <c r="J68" s="48"/>
      <c r="M68" s="2"/>
    </row>
    <row r="69" spans="2:13">
      <c r="B69" s="4"/>
      <c r="C69" s="49"/>
      <c r="D69" s="45"/>
      <c r="E69" s="50"/>
      <c r="F69" s="28"/>
      <c r="G69" s="44"/>
      <c r="H69" s="47"/>
      <c r="I69" s="31"/>
      <c r="J69" s="48"/>
      <c r="M69" s="2"/>
    </row>
    <row r="70" spans="2:13">
      <c r="B70" s="51"/>
      <c r="C70" s="29"/>
      <c r="D70" s="45"/>
      <c r="E70" s="50"/>
      <c r="F70" s="45"/>
      <c r="G70" s="50"/>
      <c r="H70" s="47"/>
      <c r="I70" s="31"/>
      <c r="J70" s="29"/>
      <c r="M70" s="2"/>
    </row>
    <row r="71" spans="2:13">
      <c r="B71" s="51"/>
      <c r="C71" s="52"/>
      <c r="D71" s="5"/>
      <c r="E71" s="45"/>
      <c r="F71" s="45"/>
      <c r="G71" s="50"/>
      <c r="H71" s="47"/>
      <c r="I71" s="31"/>
      <c r="J71" s="29"/>
      <c r="M71" s="2"/>
    </row>
    <row r="72" spans="2:13">
      <c r="B72" s="51"/>
      <c r="C72" s="53"/>
      <c r="D72" s="5"/>
      <c r="E72" s="45"/>
      <c r="F72" s="47"/>
      <c r="G72" s="47"/>
      <c r="H72" s="47"/>
      <c r="I72" s="54"/>
      <c r="J72" s="29"/>
      <c r="M72" s="2"/>
    </row>
    <row r="73" spans="2:13">
      <c r="B73" s="51"/>
      <c r="C73" s="55"/>
      <c r="D73" s="45"/>
      <c r="E73" s="45"/>
      <c r="F73" s="47"/>
      <c r="G73" s="47"/>
      <c r="H73" s="47"/>
      <c r="I73" s="31"/>
      <c r="M73" s="2"/>
    </row>
    <row r="74" spans="2:13">
      <c r="B74" s="51"/>
      <c r="C74" s="56"/>
      <c r="D74" s="45"/>
      <c r="E74" s="45"/>
      <c r="F74" s="45"/>
      <c r="G74" s="50"/>
      <c r="H74" s="45"/>
      <c r="I74" s="57"/>
      <c r="J74" s="48"/>
      <c r="M74" s="2"/>
    </row>
    <row r="75" spans="2:13">
      <c r="C75" s="5"/>
      <c r="D75" s="45"/>
      <c r="E75" s="45"/>
      <c r="F75" s="45"/>
      <c r="G75" s="50"/>
      <c r="H75" s="45"/>
      <c r="I75" s="58"/>
      <c r="J75" s="48"/>
      <c r="M75" s="2"/>
    </row>
    <row r="76" spans="2:13">
      <c r="B76" s="51"/>
      <c r="C76" s="5"/>
      <c r="D76" s="45"/>
      <c r="E76" s="45"/>
      <c r="F76" s="47"/>
      <c r="G76" s="47"/>
      <c r="H76" s="59"/>
      <c r="I76" s="31"/>
      <c r="J76" s="48"/>
      <c r="M76" s="2"/>
    </row>
    <row r="77" spans="2:13">
      <c r="B77" s="51"/>
      <c r="C77" s="60"/>
      <c r="F77" s="47"/>
      <c r="G77" s="47"/>
      <c r="H77" s="59"/>
      <c r="I77" s="31"/>
      <c r="J77" s="29"/>
      <c r="M77" s="2"/>
    </row>
    <row r="78" spans="2:13">
      <c r="B78" s="51"/>
      <c r="C78" s="60"/>
      <c r="F78" s="47"/>
      <c r="G78" s="47"/>
      <c r="H78" s="59"/>
      <c r="I78" s="31"/>
      <c r="J78" s="29"/>
      <c r="M78" s="2"/>
    </row>
    <row r="79" spans="2:13">
      <c r="B79" s="51"/>
      <c r="C79" s="61"/>
      <c r="F79" s="47"/>
      <c r="G79" s="47"/>
      <c r="H79" s="59"/>
      <c r="I79" s="54"/>
      <c r="J79" s="29"/>
    </row>
    <row r="80" spans="2:13">
      <c r="B80" s="51"/>
      <c r="C80" s="61"/>
    </row>
    <row r="81" spans="2:3">
      <c r="B81" s="51"/>
      <c r="C81" s="61"/>
    </row>
    <row r="82" spans="2:3">
      <c r="B82" s="51"/>
    </row>
  </sheetData>
  <mergeCells count="44">
    <mergeCell ref="B31:J31"/>
    <mergeCell ref="B40:J40"/>
    <mergeCell ref="B48:J49"/>
    <mergeCell ref="C16:D16"/>
    <mergeCell ref="C7:J7"/>
    <mergeCell ref="C8:J8"/>
    <mergeCell ref="C9:J9"/>
    <mergeCell ref="C10:J10"/>
    <mergeCell ref="B11:J11"/>
    <mergeCell ref="F13:I13"/>
    <mergeCell ref="F14:I14"/>
    <mergeCell ref="F15:I15"/>
    <mergeCell ref="B47:J47"/>
    <mergeCell ref="E12:E16"/>
    <mergeCell ref="B17:J18"/>
    <mergeCell ref="C15:D15"/>
    <mergeCell ref="B54:J57"/>
    <mergeCell ref="B58:J60"/>
    <mergeCell ref="F12:J12"/>
    <mergeCell ref="E26:I26"/>
    <mergeCell ref="E27:I27"/>
    <mergeCell ref="B39:I39"/>
    <mergeCell ref="B44:I44"/>
    <mergeCell ref="B50:J53"/>
    <mergeCell ref="E20:I20"/>
    <mergeCell ref="E21:I21"/>
    <mergeCell ref="E22:I22"/>
    <mergeCell ref="B24:C24"/>
    <mergeCell ref="E24:J24"/>
    <mergeCell ref="E25:I25"/>
    <mergeCell ref="B19:C19"/>
    <mergeCell ref="E19:J19"/>
    <mergeCell ref="L3:P3"/>
    <mergeCell ref="L4:L6"/>
    <mergeCell ref="M4:M6"/>
    <mergeCell ref="N4:N6"/>
    <mergeCell ref="O4:O6"/>
    <mergeCell ref="P4:P6"/>
    <mergeCell ref="C14:D14"/>
    <mergeCell ref="B4:J4"/>
    <mergeCell ref="B5:J5"/>
    <mergeCell ref="B6:J6"/>
    <mergeCell ref="B12:D12"/>
    <mergeCell ref="C13:D13"/>
  </mergeCells>
  <pageMargins left="0.51181102362204722" right="0.51181102362204722" top="0.55118110236220474" bottom="0.55118110236220474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/>
  <dimension ref="B1:J55"/>
  <sheetViews>
    <sheetView workbookViewId="0">
      <selection activeCell="B45" sqref="B45:J45"/>
    </sheetView>
  </sheetViews>
  <sheetFormatPr baseColWidth="10" defaultRowHeight="15"/>
  <cols>
    <col min="2" max="2" width="34.42578125" customWidth="1"/>
    <col min="4" max="4" width="3.7109375" customWidth="1"/>
    <col min="10" max="10" width="17.42578125" customWidth="1"/>
  </cols>
  <sheetData>
    <row r="1" spans="2:10" ht="18">
      <c r="B1" s="150"/>
    </row>
    <row r="2" spans="2:10" ht="15.75" thickBot="1"/>
    <row r="3" spans="2:10">
      <c r="B3" s="199" t="s">
        <v>0</v>
      </c>
      <c r="C3" s="200"/>
      <c r="D3" s="200"/>
      <c r="E3" s="200"/>
      <c r="F3" s="200"/>
      <c r="G3" s="200"/>
      <c r="H3" s="200"/>
      <c r="I3" s="200"/>
      <c r="J3" s="201"/>
    </row>
    <row r="4" spans="2:10">
      <c r="B4" s="202" t="s">
        <v>95</v>
      </c>
      <c r="C4" s="203"/>
      <c r="D4" s="203"/>
      <c r="E4" s="203"/>
      <c r="F4" s="203"/>
      <c r="G4" s="203"/>
      <c r="H4" s="203"/>
      <c r="I4" s="203"/>
      <c r="J4" s="204"/>
    </row>
    <row r="5" spans="2:10" ht="15.75" thickBot="1">
      <c r="B5" s="202" t="s">
        <v>96</v>
      </c>
      <c r="C5" s="203"/>
      <c r="D5" s="203"/>
      <c r="E5" s="203"/>
      <c r="F5" s="203"/>
      <c r="G5" s="203"/>
      <c r="H5" s="203"/>
      <c r="I5" s="203"/>
      <c r="J5" s="204"/>
    </row>
    <row r="6" spans="2:10">
      <c r="B6" s="84" t="s">
        <v>68</v>
      </c>
      <c r="C6" s="253" t="s">
        <v>103</v>
      </c>
      <c r="D6" s="254"/>
      <c r="E6" s="254"/>
      <c r="F6" s="254"/>
      <c r="G6" s="254"/>
      <c r="H6" s="254"/>
      <c r="I6" s="254"/>
      <c r="J6" s="255"/>
    </row>
    <row r="7" spans="2:10">
      <c r="B7" s="85" t="s">
        <v>1</v>
      </c>
      <c r="C7" s="256">
        <v>22001350</v>
      </c>
      <c r="D7" s="257"/>
      <c r="E7" s="257"/>
      <c r="F7" s="257"/>
      <c r="G7" s="257"/>
      <c r="H7" s="257"/>
      <c r="I7" s="257"/>
      <c r="J7" s="258"/>
    </row>
    <row r="8" spans="2:10">
      <c r="B8" s="85" t="s">
        <v>2</v>
      </c>
      <c r="C8" s="259" t="s">
        <v>104</v>
      </c>
      <c r="D8" s="260"/>
      <c r="E8" s="260"/>
      <c r="F8" s="260"/>
      <c r="G8" s="260"/>
      <c r="H8" s="260"/>
      <c r="I8" s="260"/>
      <c r="J8" s="261"/>
    </row>
    <row r="9" spans="2:10" ht="15.75" thickBot="1">
      <c r="B9" s="86" t="s">
        <v>3</v>
      </c>
      <c r="C9" s="262" t="s">
        <v>99</v>
      </c>
      <c r="D9" s="263"/>
      <c r="E9" s="263"/>
      <c r="F9" s="263"/>
      <c r="G9" s="263"/>
      <c r="H9" s="263"/>
      <c r="I9" s="263"/>
      <c r="J9" s="264"/>
    </row>
    <row r="10" spans="2:10" ht="15.75" thickBot="1"/>
    <row r="11" spans="2:10" ht="15.75" thickBot="1">
      <c r="B11" s="205" t="s">
        <v>10</v>
      </c>
      <c r="C11" s="206"/>
      <c r="D11" s="207"/>
      <c r="F11" s="225" t="s">
        <v>11</v>
      </c>
      <c r="G11" s="226"/>
      <c r="H11" s="226"/>
      <c r="I11" s="226"/>
      <c r="J11" s="227"/>
    </row>
    <row r="12" spans="2:10">
      <c r="B12" s="91" t="s">
        <v>13</v>
      </c>
      <c r="C12" s="208">
        <v>41811</v>
      </c>
      <c r="D12" s="209"/>
      <c r="F12" s="268" t="s">
        <v>14</v>
      </c>
      <c r="G12" s="269"/>
      <c r="H12" s="269"/>
      <c r="I12" s="269"/>
      <c r="J12" s="15">
        <v>1300000</v>
      </c>
    </row>
    <row r="13" spans="2:10" ht="15.75" thickBot="1">
      <c r="B13" s="92" t="s">
        <v>16</v>
      </c>
      <c r="C13" s="197">
        <v>40497</v>
      </c>
      <c r="D13" s="198"/>
      <c r="F13" s="270" t="s">
        <v>17</v>
      </c>
      <c r="G13" s="271"/>
      <c r="H13" s="271"/>
      <c r="I13" s="271"/>
      <c r="J13" s="15">
        <v>0</v>
      </c>
    </row>
    <row r="14" spans="2:10" ht="15.75" thickBot="1">
      <c r="B14" s="93" t="s">
        <v>19</v>
      </c>
      <c r="C14" s="281">
        <f>DAYS360(C13,C12)+1</f>
        <v>1297</v>
      </c>
      <c r="D14" s="282"/>
      <c r="F14" s="270" t="s">
        <v>20</v>
      </c>
      <c r="G14" s="271"/>
      <c r="H14" s="271"/>
      <c r="I14" s="271"/>
      <c r="J14" s="15">
        <f>+P20</f>
        <v>0</v>
      </c>
    </row>
    <row r="15" spans="2:10" ht="15.75" thickBot="1">
      <c r="F15" s="87" t="s">
        <v>22</v>
      </c>
      <c r="G15" s="88"/>
      <c r="H15" s="89"/>
      <c r="I15" s="90"/>
      <c r="J15" s="96">
        <f>SUM(J12:J14)</f>
        <v>1300000</v>
      </c>
    </row>
    <row r="16" spans="2:10" ht="15.75" thickBot="1"/>
    <row r="17" spans="2:10" ht="15.75" thickBot="1">
      <c r="B17" s="243" t="s">
        <v>26</v>
      </c>
      <c r="C17" s="244"/>
      <c r="E17" s="243" t="s">
        <v>27</v>
      </c>
      <c r="F17" s="245"/>
      <c r="G17" s="245"/>
      <c r="H17" s="245"/>
      <c r="I17" s="245"/>
      <c r="J17" s="244"/>
    </row>
    <row r="18" spans="2:10">
      <c r="B18" s="91" t="s">
        <v>29</v>
      </c>
      <c r="C18" s="20">
        <v>41640</v>
      </c>
      <c r="E18" s="237" t="s">
        <v>30</v>
      </c>
      <c r="F18" s="238"/>
      <c r="G18" s="238"/>
      <c r="H18" s="238"/>
      <c r="I18" s="239"/>
      <c r="J18" s="20">
        <v>41640</v>
      </c>
    </row>
    <row r="19" spans="2:10" ht="15.75" thickBot="1">
      <c r="B19" s="92" t="s">
        <v>32</v>
      </c>
      <c r="C19" s="21">
        <f>C12</f>
        <v>41811</v>
      </c>
      <c r="E19" s="228" t="s">
        <v>33</v>
      </c>
      <c r="F19" s="229"/>
      <c r="G19" s="229"/>
      <c r="H19" s="229"/>
      <c r="I19" s="230"/>
      <c r="J19" s="21">
        <f>+C12</f>
        <v>41811</v>
      </c>
    </row>
    <row r="20" spans="2:10" ht="15.75" thickBot="1">
      <c r="B20" s="93" t="s">
        <v>35</v>
      </c>
      <c r="C20" s="94">
        <f>DAYS360(C18,C19)</f>
        <v>170</v>
      </c>
      <c r="E20" s="240" t="s">
        <v>36</v>
      </c>
      <c r="F20" s="241"/>
      <c r="G20" s="241"/>
      <c r="H20" s="241"/>
      <c r="I20" s="242"/>
      <c r="J20" s="94">
        <f>DAYS360(J18,J19)</f>
        <v>170</v>
      </c>
    </row>
    <row r="21" spans="2:10" ht="15.75" thickBot="1"/>
    <row r="22" spans="2:10" ht="15.75" thickBot="1">
      <c r="B22" s="243" t="s">
        <v>38</v>
      </c>
      <c r="C22" s="244"/>
      <c r="E22" s="243" t="s">
        <v>39</v>
      </c>
      <c r="F22" s="245"/>
      <c r="G22" s="245"/>
      <c r="H22" s="245"/>
      <c r="I22" s="245"/>
      <c r="J22" s="244"/>
    </row>
    <row r="23" spans="2:10">
      <c r="B23" s="91" t="s">
        <v>40</v>
      </c>
      <c r="C23" s="20">
        <v>41640</v>
      </c>
      <c r="E23" s="237" t="s">
        <v>41</v>
      </c>
      <c r="F23" s="238"/>
      <c r="G23" s="238"/>
      <c r="H23" s="238"/>
      <c r="I23" s="239"/>
      <c r="J23" s="20">
        <f>+J18</f>
        <v>41640</v>
      </c>
    </row>
    <row r="24" spans="2:10" ht="15.75" thickBot="1">
      <c r="B24" s="92" t="s">
        <v>42</v>
      </c>
      <c r="C24" s="21">
        <f>+C12</f>
        <v>41811</v>
      </c>
      <c r="E24" s="228" t="s">
        <v>43</v>
      </c>
      <c r="F24" s="229"/>
      <c r="G24" s="229"/>
      <c r="H24" s="229"/>
      <c r="I24" s="230"/>
      <c r="J24" s="21">
        <f>+J19</f>
        <v>41811</v>
      </c>
    </row>
    <row r="25" spans="2:10" ht="15.75" thickBot="1">
      <c r="B25" s="101" t="s">
        <v>44</v>
      </c>
      <c r="C25" s="94">
        <f>((15*(C24-C23-$J$17)/360))-0.25</f>
        <v>6.875</v>
      </c>
      <c r="E25" s="231" t="s">
        <v>45</v>
      </c>
      <c r="F25" s="232"/>
      <c r="G25" s="232"/>
      <c r="H25" s="232"/>
      <c r="I25" s="233"/>
      <c r="J25" s="149">
        <f>(DAYS360(J23,J24)*12%)/360</f>
        <v>5.6666666666666664E-2</v>
      </c>
    </row>
    <row r="26" spans="2:10" ht="15.75" thickBot="1">
      <c r="B26" s="19" t="s">
        <v>46</v>
      </c>
      <c r="C26" s="25">
        <v>0</v>
      </c>
    </row>
    <row r="27" spans="2:10" ht="15.75" thickBot="1">
      <c r="B27" s="100" t="s">
        <v>47</v>
      </c>
      <c r="C27" s="94">
        <f>+C25-C26</f>
        <v>6.875</v>
      </c>
    </row>
    <row r="28" spans="2:10" ht="15.75" thickBot="1"/>
    <row r="29" spans="2:10" ht="15.75" thickBot="1">
      <c r="B29" s="225" t="s">
        <v>48</v>
      </c>
      <c r="C29" s="226"/>
      <c r="D29" s="226"/>
      <c r="E29" s="226"/>
      <c r="F29" s="226"/>
      <c r="G29" s="226"/>
      <c r="H29" s="226"/>
      <c r="I29" s="226"/>
      <c r="J29" s="227"/>
    </row>
    <row r="30" spans="2:10">
      <c r="B30" s="102" t="s">
        <v>89</v>
      </c>
      <c r="C30" s="129">
        <f>J12-J14</f>
        <v>1300000</v>
      </c>
      <c r="D30" s="118" t="s">
        <v>49</v>
      </c>
      <c r="E30" s="130">
        <f>C27</f>
        <v>6.875</v>
      </c>
      <c r="F30" s="118" t="s">
        <v>51</v>
      </c>
      <c r="G30" s="131">
        <v>30</v>
      </c>
      <c r="H30" s="118" t="s">
        <v>91</v>
      </c>
      <c r="I30" s="132"/>
      <c r="J30" s="109">
        <f>((C30/G30)*E30)</f>
        <v>297916.66666666669</v>
      </c>
    </row>
    <row r="31" spans="2:10">
      <c r="B31" s="103" t="s">
        <v>50</v>
      </c>
      <c r="C31" s="133">
        <f>J15</f>
        <v>1300000</v>
      </c>
      <c r="D31" s="105" t="s">
        <v>49</v>
      </c>
      <c r="E31" s="106">
        <v>360</v>
      </c>
      <c r="F31" s="105" t="s">
        <v>51</v>
      </c>
      <c r="G31" s="106">
        <f>J20-$J$17</f>
        <v>170</v>
      </c>
      <c r="H31" s="107" t="s">
        <v>91</v>
      </c>
      <c r="I31" s="134"/>
      <c r="J31" s="109">
        <f>((C31*G31)/E31)</f>
        <v>613888.88888888888</v>
      </c>
    </row>
    <row r="32" spans="2:10">
      <c r="B32" s="103" t="s">
        <v>53</v>
      </c>
      <c r="C32" s="133">
        <f>J31</f>
        <v>613888.88888888888</v>
      </c>
      <c r="D32" s="105" t="s">
        <v>49</v>
      </c>
      <c r="E32" s="106">
        <v>360</v>
      </c>
      <c r="F32" s="105" t="s">
        <v>51</v>
      </c>
      <c r="G32" s="106">
        <f>J25</f>
        <v>5.6666666666666664E-2</v>
      </c>
      <c r="H32" s="107" t="s">
        <v>91</v>
      </c>
      <c r="I32" s="135"/>
      <c r="J32" s="109">
        <f>'Prestaciones Sociales YECID '!J37</f>
        <v>104198.39999999998</v>
      </c>
    </row>
    <row r="33" spans="2:10">
      <c r="B33" s="103" t="s">
        <v>55</v>
      </c>
      <c r="C33" s="133">
        <f>J15</f>
        <v>1300000</v>
      </c>
      <c r="D33" s="105" t="s">
        <v>49</v>
      </c>
      <c r="E33" s="106">
        <v>360</v>
      </c>
      <c r="F33" s="105" t="s">
        <v>51</v>
      </c>
      <c r="G33" s="106">
        <f>C20</f>
        <v>170</v>
      </c>
      <c r="H33" s="107" t="s">
        <v>91</v>
      </c>
      <c r="I33" s="134"/>
      <c r="J33" s="109">
        <f>((C33*G33)/E33)</f>
        <v>613888.88888888888</v>
      </c>
    </row>
    <row r="34" spans="2:10">
      <c r="B34" s="103" t="s">
        <v>50</v>
      </c>
      <c r="C34" s="133">
        <f>+C33</f>
        <v>1300000</v>
      </c>
      <c r="D34" s="105" t="s">
        <v>49</v>
      </c>
      <c r="E34" s="106">
        <v>360</v>
      </c>
      <c r="F34" s="105" t="s">
        <v>51</v>
      </c>
      <c r="G34" s="106">
        <f>+J20</f>
        <v>170</v>
      </c>
      <c r="H34" s="107" t="s">
        <v>91</v>
      </c>
      <c r="I34" s="134"/>
      <c r="J34" s="109">
        <f>((C34*G34)/E34)</f>
        <v>613888.88888888888</v>
      </c>
    </row>
    <row r="35" spans="2:10">
      <c r="B35" s="103" t="s">
        <v>53</v>
      </c>
      <c r="C35" s="133">
        <f>+J34</f>
        <v>613888.88888888888</v>
      </c>
      <c r="D35" s="105"/>
      <c r="E35" s="136"/>
      <c r="F35" s="105" t="s">
        <v>51</v>
      </c>
      <c r="G35" s="136">
        <f>+J25</f>
        <v>5.6666666666666664E-2</v>
      </c>
      <c r="H35" s="107" t="s">
        <v>91</v>
      </c>
      <c r="I35" s="134"/>
      <c r="J35" s="109">
        <f>+$C$35*$G$35</f>
        <v>34787.037037037036</v>
      </c>
    </row>
    <row r="36" spans="2:10" ht="15.75" thickBot="1">
      <c r="B36" s="104" t="s">
        <v>102</v>
      </c>
      <c r="C36" s="137">
        <f>J11</f>
        <v>0</v>
      </c>
      <c r="D36" s="138" t="s">
        <v>100</v>
      </c>
      <c r="E36" s="125">
        <f>J12</f>
        <v>1300000</v>
      </c>
      <c r="F36" s="138" t="s">
        <v>49</v>
      </c>
      <c r="G36" s="125">
        <v>30</v>
      </c>
      <c r="H36" s="139" t="s">
        <v>101</v>
      </c>
      <c r="I36" s="140">
        <v>21</v>
      </c>
      <c r="J36" s="109">
        <f>((C36+E36)/G36)*I36</f>
        <v>910000</v>
      </c>
    </row>
    <row r="37" spans="2:10" ht="15.75" thickBot="1">
      <c r="B37" s="234" t="s">
        <v>56</v>
      </c>
      <c r="C37" s="235"/>
      <c r="D37" s="235"/>
      <c r="E37" s="235"/>
      <c r="F37" s="235"/>
      <c r="G37" s="235"/>
      <c r="H37" s="235"/>
      <c r="I37" s="236"/>
      <c r="J37" s="110">
        <f>SUM(J30:J36)</f>
        <v>3188568.7703703702</v>
      </c>
    </row>
    <row r="38" spans="2:10" ht="15.75" thickBot="1">
      <c r="B38" s="205" t="s">
        <v>57</v>
      </c>
      <c r="C38" s="206"/>
      <c r="D38" s="206"/>
      <c r="E38" s="206"/>
      <c r="F38" s="206"/>
      <c r="G38" s="206"/>
      <c r="H38" s="206"/>
      <c r="I38" s="206"/>
      <c r="J38" s="207"/>
    </row>
    <row r="39" spans="2:10" ht="15.75" thickBot="1">
      <c r="B39" s="116" t="s">
        <v>58</v>
      </c>
      <c r="C39" s="117">
        <v>0.04</v>
      </c>
      <c r="D39" s="118"/>
      <c r="E39" s="119">
        <f>(J12/30)*25</f>
        <v>1083333.3333333335</v>
      </c>
      <c r="F39" s="120"/>
      <c r="G39" s="119"/>
      <c r="H39" s="121"/>
      <c r="I39" s="122"/>
      <c r="J39" s="146">
        <f>(SUM(E39:G39)*-C39)</f>
        <v>-43333.333333333343</v>
      </c>
    </row>
    <row r="40" spans="2:10">
      <c r="B40" s="111" t="s">
        <v>59</v>
      </c>
      <c r="C40" s="112">
        <v>0.04</v>
      </c>
      <c r="D40" s="105"/>
      <c r="E40" s="119">
        <f>(J12/30)*25</f>
        <v>1083333.3333333335</v>
      </c>
      <c r="F40" s="114"/>
      <c r="G40" s="114"/>
      <c r="H40" s="113"/>
      <c r="I40" s="123"/>
      <c r="J40" s="147">
        <f>(SUM(E40:G40)*-C40)</f>
        <v>-43333.333333333343</v>
      </c>
    </row>
    <row r="41" spans="2:10" ht="15.75" thickBot="1">
      <c r="B41" s="124" t="s">
        <v>60</v>
      </c>
      <c r="C41" s="125"/>
      <c r="D41" s="126"/>
      <c r="E41" s="127"/>
      <c r="F41" s="127"/>
      <c r="G41" s="127"/>
      <c r="H41" s="125"/>
      <c r="I41" s="128"/>
      <c r="J41" s="148">
        <f>SUM(E41:G41)</f>
        <v>0</v>
      </c>
    </row>
    <row r="42" spans="2:10" ht="15.75" thickBot="1">
      <c r="B42" s="234" t="s">
        <v>61</v>
      </c>
      <c r="C42" s="235"/>
      <c r="D42" s="235"/>
      <c r="E42" s="235"/>
      <c r="F42" s="235"/>
      <c r="G42" s="235"/>
      <c r="H42" s="235"/>
      <c r="I42" s="236"/>
      <c r="J42" s="115">
        <f>SUM(J39:J41)</f>
        <v>-86666.666666666686</v>
      </c>
    </row>
    <row r="43" spans="2:10" ht="15.75" thickBot="1"/>
    <row r="44" spans="2:10" ht="15.75" thickBot="1">
      <c r="B44" s="141" t="s">
        <v>62</v>
      </c>
      <c r="C44" s="142"/>
      <c r="D44" s="143"/>
      <c r="E44" s="143"/>
      <c r="F44" s="144"/>
      <c r="G44" s="144"/>
      <c r="H44" s="145"/>
      <c r="I44" s="144"/>
      <c r="J44" s="115">
        <f>J15+J42</f>
        <v>1213333.3333333333</v>
      </c>
    </row>
    <row r="45" spans="2:10" ht="15.75" thickBot="1">
      <c r="B45" s="272" t="str">
        <f>PesosMN(J44)</f>
        <v>SON: ( UN MILLON DOSCIENTOS TRECE MIL TRESCIENTOS TREINTA Y TRES PESOS 33/100 M.N.)</v>
      </c>
      <c r="C45" s="273"/>
      <c r="D45" s="273"/>
      <c r="E45" s="273"/>
      <c r="F45" s="273"/>
      <c r="G45" s="273"/>
      <c r="H45" s="273"/>
      <c r="I45" s="273"/>
      <c r="J45" s="274"/>
    </row>
    <row r="46" spans="2:10">
      <c r="B46" s="246" t="s">
        <v>63</v>
      </c>
      <c r="C46" s="247"/>
      <c r="D46" s="247"/>
      <c r="E46" s="247"/>
      <c r="F46" s="247"/>
      <c r="G46" s="247"/>
      <c r="H46" s="247"/>
      <c r="I46" s="247"/>
      <c r="J46" s="248"/>
    </row>
    <row r="47" spans="2:10" ht="15.75" thickBot="1">
      <c r="B47" s="249"/>
      <c r="C47" s="250"/>
      <c r="D47" s="250"/>
      <c r="E47" s="250"/>
      <c r="F47" s="250"/>
      <c r="G47" s="250"/>
      <c r="H47" s="250"/>
      <c r="I47" s="250"/>
      <c r="J47" s="251"/>
    </row>
    <row r="48" spans="2:10">
      <c r="B48" s="216" t="s">
        <v>64</v>
      </c>
      <c r="C48" s="217"/>
      <c r="D48" s="217"/>
      <c r="E48" s="217"/>
      <c r="F48" s="217"/>
      <c r="G48" s="217"/>
      <c r="H48" s="217"/>
      <c r="I48" s="217"/>
      <c r="J48" s="218"/>
    </row>
    <row r="49" spans="2:10">
      <c r="B49" s="219"/>
      <c r="C49" s="220"/>
      <c r="D49" s="220"/>
      <c r="E49" s="220"/>
      <c r="F49" s="220"/>
      <c r="G49" s="220"/>
      <c r="H49" s="220"/>
      <c r="I49" s="220"/>
      <c r="J49" s="221"/>
    </row>
    <row r="50" spans="2:10">
      <c r="B50" s="219"/>
      <c r="C50" s="220"/>
      <c r="D50" s="220"/>
      <c r="E50" s="220"/>
      <c r="F50" s="220"/>
      <c r="G50" s="220"/>
      <c r="H50" s="220"/>
      <c r="I50" s="220"/>
      <c r="J50" s="221"/>
    </row>
    <row r="51" spans="2:10" ht="15.75" thickBot="1">
      <c r="B51" s="219"/>
      <c r="C51" s="220"/>
      <c r="D51" s="220"/>
      <c r="E51" s="220"/>
      <c r="F51" s="220"/>
      <c r="G51" s="220"/>
      <c r="H51" s="220"/>
      <c r="I51" s="220"/>
      <c r="J51" s="221"/>
    </row>
    <row r="52" spans="2:10">
      <c r="B52" s="216" t="s">
        <v>88</v>
      </c>
      <c r="C52" s="217"/>
      <c r="D52" s="217"/>
      <c r="E52" s="217"/>
      <c r="F52" s="217"/>
      <c r="G52" s="217"/>
      <c r="H52" s="217"/>
      <c r="I52" s="217"/>
      <c r="J52" s="218"/>
    </row>
    <row r="53" spans="2:10">
      <c r="B53" s="219"/>
      <c r="C53" s="220"/>
      <c r="D53" s="220"/>
      <c r="E53" s="220"/>
      <c r="F53" s="220"/>
      <c r="G53" s="220"/>
      <c r="H53" s="220"/>
      <c r="I53" s="220"/>
      <c r="J53" s="221"/>
    </row>
    <row r="54" spans="2:10">
      <c r="B54" s="219"/>
      <c r="C54" s="220"/>
      <c r="D54" s="220"/>
      <c r="E54" s="220"/>
      <c r="F54" s="220"/>
      <c r="G54" s="220"/>
      <c r="H54" s="220"/>
      <c r="I54" s="220"/>
      <c r="J54" s="221"/>
    </row>
    <row r="55" spans="2:10" ht="15.75" thickBot="1">
      <c r="B55" s="222"/>
      <c r="C55" s="223"/>
      <c r="D55" s="223"/>
      <c r="E55" s="223"/>
      <c r="F55" s="223"/>
      <c r="G55" s="223"/>
      <c r="H55" s="223"/>
      <c r="I55" s="223"/>
      <c r="J55" s="224"/>
    </row>
  </sheetData>
  <mergeCells count="33">
    <mergeCell ref="B42:I42"/>
    <mergeCell ref="B45:J45"/>
    <mergeCell ref="B46:J47"/>
    <mergeCell ref="B48:J51"/>
    <mergeCell ref="B52:J55"/>
    <mergeCell ref="B38:J38"/>
    <mergeCell ref="B17:C17"/>
    <mergeCell ref="E17:J17"/>
    <mergeCell ref="E18:I18"/>
    <mergeCell ref="E19:I19"/>
    <mergeCell ref="E20:I20"/>
    <mergeCell ref="B22:C22"/>
    <mergeCell ref="E22:J22"/>
    <mergeCell ref="E23:I23"/>
    <mergeCell ref="E24:I24"/>
    <mergeCell ref="E25:I25"/>
    <mergeCell ref="B29:J29"/>
    <mergeCell ref="B37:I37"/>
    <mergeCell ref="C9:J9"/>
    <mergeCell ref="B11:D11"/>
    <mergeCell ref="C12:D12"/>
    <mergeCell ref="C13:D13"/>
    <mergeCell ref="C14:D14"/>
    <mergeCell ref="F11:J11"/>
    <mergeCell ref="F12:I12"/>
    <mergeCell ref="F13:I13"/>
    <mergeCell ref="F14:I14"/>
    <mergeCell ref="C8:J8"/>
    <mergeCell ref="B3:J3"/>
    <mergeCell ref="B4:J4"/>
    <mergeCell ref="B5:J5"/>
    <mergeCell ref="C6:J6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C11"/>
  <sheetViews>
    <sheetView workbookViewId="0">
      <selection activeCell="D20" sqref="D20"/>
    </sheetView>
  </sheetViews>
  <sheetFormatPr baseColWidth="10" defaultRowHeight="15"/>
  <cols>
    <col min="2" max="2" width="40.28515625" customWidth="1"/>
    <col min="3" max="3" width="20.5703125" customWidth="1"/>
  </cols>
  <sheetData>
    <row r="1" spans="2:3" ht="15.75" thickBot="1"/>
    <row r="2" spans="2:3" ht="18.75">
      <c r="B2" s="284" t="s">
        <v>70</v>
      </c>
      <c r="C2" s="285"/>
    </row>
    <row r="3" spans="2:3">
      <c r="B3" s="283" t="s">
        <v>71</v>
      </c>
      <c r="C3" s="283"/>
    </row>
    <row r="4" spans="2:3">
      <c r="B4" s="62" t="s">
        <v>74</v>
      </c>
      <c r="C4" s="62" t="s">
        <v>75</v>
      </c>
    </row>
    <row r="5" spans="2:3">
      <c r="B5" s="65" t="s">
        <v>76</v>
      </c>
      <c r="C5" s="66">
        <v>651000</v>
      </c>
    </row>
    <row r="6" spans="2:3">
      <c r="B6" s="65" t="s">
        <v>77</v>
      </c>
      <c r="C6" s="67">
        <v>40878</v>
      </c>
    </row>
    <row r="7" spans="2:3">
      <c r="B7" s="65" t="s">
        <v>79</v>
      </c>
      <c r="C7" s="67">
        <v>41244</v>
      </c>
    </row>
    <row r="8" spans="2:3">
      <c r="B8" s="65" t="s">
        <v>80</v>
      </c>
      <c r="C8" s="67">
        <v>41213</v>
      </c>
    </row>
    <row r="9" spans="2:3">
      <c r="B9" s="65" t="s">
        <v>82</v>
      </c>
      <c r="C9" s="69">
        <f>DAYS360(C6,C7)+1</f>
        <v>361</v>
      </c>
    </row>
    <row r="10" spans="2:3">
      <c r="B10" s="65" t="s">
        <v>85</v>
      </c>
      <c r="C10" s="69">
        <f>(C9)-(DAYS360(C6,C8))+1</f>
        <v>32</v>
      </c>
    </row>
    <row r="11" spans="2:3">
      <c r="B11" s="65" t="s">
        <v>92</v>
      </c>
      <c r="C11" s="70">
        <f>+C5/30*C10</f>
        <v>694400</v>
      </c>
    </row>
  </sheetData>
  <mergeCells count="2">
    <mergeCell ref="B3:C3"/>
    <mergeCell ref="B2:C2"/>
  </mergeCells>
  <dataValidations count="3">
    <dataValidation type="custom" allowBlank="1" showInputMessage="1" showErrorMessage="1" error="Solo se permite ingresar una indemnización." sqref="C5">
      <formula1>XFA5+XFD5=0</formula1>
    </dataValidation>
    <dataValidation type="date" allowBlank="1" showInputMessage="1" showErrorMessage="1" errorTitle="Error en Datos" error="Validar fecha y formato (DD/MM/AA)" sqref="C8">
      <formula1>E6</formula1>
      <formula2>E7</formula2>
    </dataValidation>
    <dataValidation type="date" allowBlank="1" showInputMessage="1" showErrorMessage="1" errorTitle="Dato Errado" error="Validar Fecha y Formato (DD/MM/AA)" sqref="C6:C7">
      <formula1>E6</formula1>
      <formula2>E7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11"/>
  <sheetViews>
    <sheetView workbookViewId="0">
      <selection activeCell="F12" sqref="F12"/>
    </sheetView>
  </sheetViews>
  <sheetFormatPr baseColWidth="10" defaultRowHeight="15"/>
  <cols>
    <col min="2" max="2" width="42.28515625" customWidth="1"/>
    <col min="3" max="3" width="19.42578125" customWidth="1"/>
  </cols>
  <sheetData>
    <row r="1" spans="2:6" ht="15.75" thickBot="1"/>
    <row r="2" spans="2:6" ht="21">
      <c r="B2" s="286" t="s">
        <v>69</v>
      </c>
      <c r="C2" s="287"/>
      <c r="D2" s="287"/>
      <c r="E2" s="287"/>
      <c r="F2" s="288"/>
    </row>
    <row r="3" spans="2:6">
      <c r="B3" s="283" t="s">
        <v>72</v>
      </c>
      <c r="C3" s="283"/>
    </row>
    <row r="4" spans="2:6">
      <c r="B4" s="63" t="s">
        <v>74</v>
      </c>
      <c r="C4" s="64" t="s">
        <v>75</v>
      </c>
    </row>
    <row r="5" spans="2:6">
      <c r="B5" s="65" t="s">
        <v>76</v>
      </c>
      <c r="C5" s="66">
        <v>800000</v>
      </c>
    </row>
    <row r="6" spans="2:6">
      <c r="B6" s="65" t="s">
        <v>78</v>
      </c>
      <c r="C6" s="67">
        <v>40878</v>
      </c>
    </row>
    <row r="7" spans="2:6">
      <c r="B7" s="65" t="s">
        <v>80</v>
      </c>
      <c r="C7" s="67">
        <v>41183</v>
      </c>
    </row>
    <row r="8" spans="2:6">
      <c r="B8" s="65" t="s">
        <v>81</v>
      </c>
      <c r="C8" s="68">
        <f>DAYS360(C6,C7)</f>
        <v>300</v>
      </c>
    </row>
    <row r="9" spans="2:6">
      <c r="B9" s="65"/>
      <c r="C9" s="68">
        <f>30+(C8-360)*20/360</f>
        <v>26.666666666666668</v>
      </c>
    </row>
    <row r="10" spans="2:6">
      <c r="B10" s="65" t="s">
        <v>84</v>
      </c>
      <c r="C10" s="68">
        <f>IF(C9&gt;=30,C9,30)</f>
        <v>30</v>
      </c>
    </row>
    <row r="11" spans="2:6">
      <c r="B11" s="65" t="s">
        <v>93</v>
      </c>
      <c r="C11" s="70">
        <f>+C5/30*C10</f>
        <v>800000</v>
      </c>
    </row>
  </sheetData>
  <mergeCells count="2">
    <mergeCell ref="B3:C3"/>
    <mergeCell ref="B2:F2"/>
  </mergeCells>
  <dataValidations count="2">
    <dataValidation type="custom" allowBlank="1" showInputMessage="1" showErrorMessage="1" errorTitle="Valor debe ser menor a 10 SMMLV" error="$5.667.000.oo. Solo se permite ingresar una indemnización." sqref="C5">
      <formula1>F5+I5=0</formula1>
    </dataValidation>
    <dataValidation type="date" allowBlank="1" showInputMessage="1" showErrorMessage="1" sqref="C6">
      <formula1>21916</formula1>
      <formula2>55518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4:C12"/>
  <sheetViews>
    <sheetView workbookViewId="0">
      <selection activeCell="C9" sqref="C9"/>
    </sheetView>
  </sheetViews>
  <sheetFormatPr baseColWidth="10" defaultRowHeight="15"/>
  <cols>
    <col min="2" max="2" width="36.140625" customWidth="1"/>
    <col min="3" max="3" width="20.28515625" customWidth="1"/>
  </cols>
  <sheetData>
    <row r="4" spans="2:3">
      <c r="B4" s="283" t="s">
        <v>73</v>
      </c>
      <c r="C4" s="283"/>
    </row>
    <row r="5" spans="2:3">
      <c r="B5" s="63" t="s">
        <v>74</v>
      </c>
      <c r="C5" s="63" t="s">
        <v>75</v>
      </c>
    </row>
    <row r="6" spans="2:3">
      <c r="B6" s="65" t="s">
        <v>76</v>
      </c>
      <c r="C6" s="66">
        <v>6500000</v>
      </c>
    </row>
    <row r="7" spans="2:3">
      <c r="B7" s="65" t="s">
        <v>78</v>
      </c>
      <c r="C7" s="67">
        <v>40878</v>
      </c>
    </row>
    <row r="8" spans="2:3">
      <c r="B8" s="65" t="s">
        <v>80</v>
      </c>
      <c r="C8" s="67">
        <v>41975</v>
      </c>
    </row>
    <row r="9" spans="2:3">
      <c r="B9" s="65" t="s">
        <v>81</v>
      </c>
      <c r="C9" s="68">
        <f>DAYS360(C7,C8)</f>
        <v>1081</v>
      </c>
    </row>
    <row r="10" spans="2:3">
      <c r="B10" s="65" t="s">
        <v>83</v>
      </c>
      <c r="C10" s="68">
        <f>20+(C9-360)*15/360</f>
        <v>50.041666666666671</v>
      </c>
    </row>
    <row r="11" spans="2:3">
      <c r="B11" s="65" t="s">
        <v>84</v>
      </c>
      <c r="C11" s="68">
        <f>IF(C10&gt;=30,C10,30)</f>
        <v>50.041666666666671</v>
      </c>
    </row>
    <row r="12" spans="2:3">
      <c r="B12" s="65" t="s">
        <v>92</v>
      </c>
      <c r="C12" s="70">
        <f>+C6/30*C11</f>
        <v>10842361.111111112</v>
      </c>
    </row>
  </sheetData>
  <mergeCells count="1">
    <mergeCell ref="B4:C4"/>
  </mergeCells>
  <dataValidations count="2">
    <dataValidation type="custom" allowBlank="1" showInputMessage="1" showErrorMessage="1" errorTitle="El valor es inferior a 10 SMMLV" error="$5.667.000. Solo se permite ingresar una indemnización." sqref="C6">
      <formula1>XFD6+F6=0</formula1>
    </dataValidation>
    <dataValidation type="date" allowBlank="1" showInputMessage="1" showErrorMessage="1" sqref="C7:C8">
      <formula1>1</formula1>
      <formula2>73020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25"/>
  <sheetViews>
    <sheetView tabSelected="1" topLeftCell="E1" workbookViewId="0">
      <selection activeCell="M25" sqref="M25"/>
    </sheetView>
  </sheetViews>
  <sheetFormatPr baseColWidth="10" defaultRowHeight="15"/>
  <cols>
    <col min="1" max="1" width="30" customWidth="1"/>
  </cols>
  <sheetData>
    <row r="1" spans="1:33" ht="15.75" thickBot="1">
      <c r="A1" s="151" t="s">
        <v>105</v>
      </c>
      <c r="B1" s="313"/>
      <c r="C1" s="313"/>
      <c r="D1" s="313"/>
      <c r="E1" s="313"/>
      <c r="F1" s="313"/>
      <c r="G1" s="313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W1" s="314" t="s">
        <v>106</v>
      </c>
      <c r="X1" s="315"/>
      <c r="Y1" s="316"/>
      <c r="Z1" s="153">
        <v>8</v>
      </c>
      <c r="AB1" s="317" t="s">
        <v>107</v>
      </c>
      <c r="AC1" s="318"/>
      <c r="AD1" s="153">
        <v>616000</v>
      </c>
    </row>
    <row r="2" spans="1:33" ht="15.75" thickBot="1">
      <c r="A2" s="151" t="s">
        <v>108</v>
      </c>
      <c r="B2" s="338"/>
      <c r="C2" s="338"/>
      <c r="D2" s="338"/>
      <c r="E2" s="338"/>
      <c r="F2" s="338"/>
      <c r="G2" s="338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W2" s="339" t="s">
        <v>109</v>
      </c>
      <c r="X2" s="340"/>
      <c r="Y2" s="341"/>
      <c r="Z2" s="153">
        <v>240</v>
      </c>
      <c r="AB2" s="317" t="s">
        <v>110</v>
      </c>
      <c r="AC2" s="318"/>
      <c r="AD2" s="153">
        <v>72000</v>
      </c>
    </row>
    <row r="3" spans="1:33" ht="15.75" thickBot="1">
      <c r="A3" s="151" t="s">
        <v>111</v>
      </c>
      <c r="B3" s="342"/>
      <c r="C3" s="342"/>
      <c r="D3" s="342"/>
      <c r="E3" s="342"/>
      <c r="F3" s="342"/>
      <c r="G3" s="34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33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</row>
    <row r="5" spans="1:33" ht="15.75" thickBot="1">
      <c r="A5" s="152"/>
      <c r="B5" s="152"/>
      <c r="C5" s="152"/>
      <c r="D5" s="152"/>
      <c r="E5" s="152"/>
      <c r="F5" s="152"/>
      <c r="G5" s="152"/>
    </row>
    <row r="6" spans="1:33" ht="15.75" thickBot="1">
      <c r="A6" s="319" t="s">
        <v>112</v>
      </c>
      <c r="B6" s="321" t="s">
        <v>113</v>
      </c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3"/>
      <c r="X6" s="154"/>
      <c r="Y6" s="321" t="s">
        <v>114</v>
      </c>
      <c r="Z6" s="322"/>
      <c r="AA6" s="322"/>
      <c r="AB6" s="322"/>
      <c r="AC6" s="322"/>
      <c r="AD6" s="322"/>
      <c r="AE6" s="323"/>
    </row>
    <row r="7" spans="1:33" ht="39" thickBot="1">
      <c r="A7" s="320"/>
      <c r="B7" s="155" t="s">
        <v>115</v>
      </c>
      <c r="C7" s="156" t="s">
        <v>116</v>
      </c>
      <c r="D7" s="157" t="s">
        <v>117</v>
      </c>
      <c r="E7" s="158" t="s">
        <v>118</v>
      </c>
      <c r="F7" s="158" t="s">
        <v>119</v>
      </c>
      <c r="G7" s="158" t="s">
        <v>5</v>
      </c>
      <c r="H7" s="159" t="s">
        <v>120</v>
      </c>
      <c r="I7" s="160" t="s">
        <v>121</v>
      </c>
      <c r="J7" s="158" t="s">
        <v>120</v>
      </c>
      <c r="K7" s="158" t="s">
        <v>122</v>
      </c>
      <c r="L7" s="158" t="s">
        <v>120</v>
      </c>
      <c r="M7" s="158" t="s">
        <v>123</v>
      </c>
      <c r="N7" s="158" t="s">
        <v>120</v>
      </c>
      <c r="O7" s="158" t="s">
        <v>124</v>
      </c>
      <c r="P7" s="158" t="s">
        <v>120</v>
      </c>
      <c r="Q7" s="158" t="s">
        <v>125</v>
      </c>
      <c r="R7" s="158" t="s">
        <v>120</v>
      </c>
      <c r="S7" s="158" t="s">
        <v>126</v>
      </c>
      <c r="T7" s="158" t="s">
        <v>120</v>
      </c>
      <c r="U7" s="158" t="s">
        <v>127</v>
      </c>
      <c r="V7" s="158" t="s">
        <v>128</v>
      </c>
      <c r="W7" s="161" t="s">
        <v>129</v>
      </c>
      <c r="X7" s="158" t="s">
        <v>130</v>
      </c>
      <c r="Y7" s="158" t="s">
        <v>131</v>
      </c>
      <c r="Z7" s="158" t="s">
        <v>132</v>
      </c>
      <c r="AA7" s="158" t="s">
        <v>133</v>
      </c>
      <c r="AB7" s="158" t="s">
        <v>134</v>
      </c>
      <c r="AC7" s="158" t="s">
        <v>135</v>
      </c>
      <c r="AD7" s="158" t="s">
        <v>136</v>
      </c>
      <c r="AE7" s="158" t="s">
        <v>129</v>
      </c>
      <c r="AF7" s="158" t="s">
        <v>61</v>
      </c>
      <c r="AG7" s="158" t="s">
        <v>137</v>
      </c>
    </row>
    <row r="8" spans="1:33">
      <c r="A8" s="162" t="s">
        <v>138</v>
      </c>
      <c r="B8" s="162">
        <v>2300000</v>
      </c>
      <c r="C8" s="163">
        <v>15</v>
      </c>
      <c r="D8" s="164">
        <f>+C8*$Z$1</f>
        <v>120</v>
      </c>
      <c r="E8" s="165">
        <f>(B8/$Z$2)*D8</f>
        <v>1150000</v>
      </c>
      <c r="F8" s="165">
        <f t="shared" ref="F8:F14" si="0">ROUND((IF(B8&lt;=($AD$1*2),$AD$2/$Z$2*D8,0)),0)</f>
        <v>0</v>
      </c>
      <c r="G8" s="166">
        <v>100000</v>
      </c>
      <c r="H8" s="167">
        <v>6</v>
      </c>
      <c r="I8" s="165">
        <f>ROUND(((B8/$Z$2)*H8*$X$19),0)</f>
        <v>71875</v>
      </c>
      <c r="J8" s="167">
        <v>3</v>
      </c>
      <c r="K8" s="165">
        <f>ROUND(((B8/$Z$2)*J8*$X$20),0)</f>
        <v>50313</v>
      </c>
      <c r="L8" s="167">
        <v>3</v>
      </c>
      <c r="M8" s="168">
        <f>ROUND(((B8/$Z$2)*L8*$X$21),0)</f>
        <v>10063</v>
      </c>
      <c r="N8" s="168"/>
      <c r="O8" s="168">
        <f t="shared" ref="O8:O14" si="1">ROUND(((B8/$Z$2)*N8*$X$22),0)</f>
        <v>0</v>
      </c>
      <c r="P8" s="167"/>
      <c r="Q8" s="168">
        <f t="shared" ref="Q8:Q14" si="2">ROUND(((B8/$Z$2)*P8*$X$23),0)</f>
        <v>0</v>
      </c>
      <c r="R8" s="167">
        <v>8</v>
      </c>
      <c r="S8" s="168">
        <f t="shared" ref="S8:S14" si="3">ROUND(((B8/$Z$2)*R8*$X$24),0)</f>
        <v>191667</v>
      </c>
      <c r="T8" s="167">
        <v>1</v>
      </c>
      <c r="U8" s="168">
        <f t="shared" ref="U8:U14" si="4">ROUND(((B8/$Z$2)*T8*$X$25),0)</f>
        <v>20125</v>
      </c>
      <c r="V8" s="165">
        <f t="shared" ref="V8:V14" si="5">+I8+K8+M8+O8+Q8+S8+U8</f>
        <v>344043</v>
      </c>
      <c r="W8" s="169"/>
      <c r="X8" s="165">
        <f>+E8+F8+G8+V8+W8</f>
        <v>1594043</v>
      </c>
      <c r="Y8" s="165">
        <f>(X8-F8)*4%</f>
        <v>63761.72</v>
      </c>
      <c r="Z8" s="165">
        <f>(X8-F8)*4%</f>
        <v>63761.72</v>
      </c>
      <c r="AA8" s="165">
        <f>IF(X8&gt;=($AD$1*4),(X8*1%),0)</f>
        <v>0</v>
      </c>
      <c r="AB8" s="166"/>
      <c r="AC8" s="166"/>
      <c r="AD8" s="166"/>
      <c r="AE8" s="166"/>
      <c r="AF8" s="165">
        <f>Y8+Z8+AA8+AB8+AC8+AD8+AE8</f>
        <v>127523.44</v>
      </c>
      <c r="AG8" s="165">
        <f t="shared" ref="AG8:AG15" si="6">(X8-AF8)</f>
        <v>1466519.56</v>
      </c>
    </row>
    <row r="9" spans="1:33">
      <c r="A9" s="162" t="s">
        <v>139</v>
      </c>
      <c r="B9" s="162">
        <v>1548000</v>
      </c>
      <c r="C9" s="170">
        <v>15</v>
      </c>
      <c r="D9" s="164">
        <f t="shared" ref="D9:D14" si="7">+C9*$Z$1</f>
        <v>120</v>
      </c>
      <c r="E9" s="165">
        <f t="shared" ref="E9:E14" si="8">(B9/$Z$2)*D9</f>
        <v>774000</v>
      </c>
      <c r="F9" s="165">
        <f t="shared" si="0"/>
        <v>0</v>
      </c>
      <c r="G9" s="166">
        <v>100000</v>
      </c>
      <c r="H9" s="171">
        <v>5</v>
      </c>
      <c r="I9" s="165">
        <f>ROUND(((B9/$Z$2)*H9*X19),0)</f>
        <v>40313</v>
      </c>
      <c r="J9" s="171">
        <v>5</v>
      </c>
      <c r="K9" s="172">
        <f t="shared" ref="K9:K14" si="9">ROUND(((B9/$Z$2)*J9*$X$20),0)</f>
        <v>56438</v>
      </c>
      <c r="L9" s="171">
        <v>5</v>
      </c>
      <c r="M9" s="168">
        <f t="shared" ref="M9:M14" si="10">ROUND(((B9/$Z$2)*L9*$X$21),0)</f>
        <v>11288</v>
      </c>
      <c r="N9" s="173"/>
      <c r="O9" s="168">
        <f t="shared" si="1"/>
        <v>0</v>
      </c>
      <c r="P9" s="171"/>
      <c r="Q9" s="168">
        <f t="shared" si="2"/>
        <v>0</v>
      </c>
      <c r="R9" s="167"/>
      <c r="S9" s="168">
        <f t="shared" si="3"/>
        <v>0</v>
      </c>
      <c r="T9" s="167">
        <v>8</v>
      </c>
      <c r="U9" s="168">
        <f t="shared" si="4"/>
        <v>108360</v>
      </c>
      <c r="V9" s="165">
        <f t="shared" si="5"/>
        <v>216399</v>
      </c>
      <c r="W9" s="169"/>
      <c r="X9" s="165">
        <f t="shared" ref="X9:X14" si="11">+E9+F9+G9+V9+W9</f>
        <v>1090399</v>
      </c>
      <c r="Y9" s="165">
        <f t="shared" ref="Y9:Y16" si="12">(X9-F9)*4%</f>
        <v>43615.96</v>
      </c>
      <c r="Z9" s="165">
        <f t="shared" ref="Z9:Z16" si="13">(X9-F9)*4%</f>
        <v>43615.96</v>
      </c>
      <c r="AA9" s="165">
        <f>IF(X9&gt;=($AD$1*4),(X9*1%),0)</f>
        <v>0</v>
      </c>
      <c r="AB9" s="166"/>
      <c r="AC9" s="166"/>
      <c r="AD9" s="166"/>
      <c r="AE9" s="166"/>
      <c r="AF9" s="165">
        <f t="shared" ref="AF9:AF14" si="14">Y9+Z9+AA9+AB9+AC9+AD9+AE9</f>
        <v>87231.92</v>
      </c>
      <c r="AG9" s="165">
        <f t="shared" si="6"/>
        <v>1003167.08</v>
      </c>
    </row>
    <row r="10" spans="1:33">
      <c r="A10" s="174" t="s">
        <v>140</v>
      </c>
      <c r="B10" s="174">
        <v>1848000</v>
      </c>
      <c r="C10" s="170">
        <v>15</v>
      </c>
      <c r="D10" s="164">
        <f t="shared" si="7"/>
        <v>120</v>
      </c>
      <c r="E10" s="165">
        <f t="shared" si="8"/>
        <v>924000</v>
      </c>
      <c r="F10" s="165">
        <f t="shared" si="0"/>
        <v>0</v>
      </c>
      <c r="G10" s="166">
        <v>100000</v>
      </c>
      <c r="H10" s="171">
        <v>3</v>
      </c>
      <c r="I10" s="165">
        <f t="shared" ref="I10:I14" si="15">ROUND(((B10/$Z$2)*H10*$X$19),0)</f>
        <v>28875</v>
      </c>
      <c r="J10" s="171">
        <v>4</v>
      </c>
      <c r="K10" s="165">
        <f t="shared" si="9"/>
        <v>53900</v>
      </c>
      <c r="L10" s="171">
        <v>8</v>
      </c>
      <c r="M10" s="168">
        <f t="shared" si="10"/>
        <v>21560</v>
      </c>
      <c r="N10" s="173">
        <v>4</v>
      </c>
      <c r="O10" s="168">
        <f t="shared" si="1"/>
        <v>53900</v>
      </c>
      <c r="P10" s="171"/>
      <c r="Q10" s="168">
        <f t="shared" si="2"/>
        <v>0</v>
      </c>
      <c r="R10" s="167">
        <v>7</v>
      </c>
      <c r="S10" s="168">
        <f t="shared" si="3"/>
        <v>134750</v>
      </c>
      <c r="T10" s="167"/>
      <c r="U10" s="168">
        <f t="shared" si="4"/>
        <v>0</v>
      </c>
      <c r="V10" s="165">
        <f t="shared" si="5"/>
        <v>292985</v>
      </c>
      <c r="W10" s="169"/>
      <c r="X10" s="165">
        <f t="shared" si="11"/>
        <v>1316985</v>
      </c>
      <c r="Y10" s="165">
        <f t="shared" si="12"/>
        <v>52679.4</v>
      </c>
      <c r="Z10" s="165">
        <f t="shared" si="13"/>
        <v>52679.4</v>
      </c>
      <c r="AA10" s="165">
        <f t="shared" ref="AA10:AA15" si="16">IF(B10&gt;=($AD$1*4),(B10*1%),0)</f>
        <v>0</v>
      </c>
      <c r="AB10" s="166"/>
      <c r="AC10" s="166"/>
      <c r="AD10" s="166"/>
      <c r="AE10" s="166"/>
      <c r="AF10" s="165">
        <f t="shared" si="14"/>
        <v>105358.8</v>
      </c>
      <c r="AG10" s="165">
        <f t="shared" si="6"/>
        <v>1211626.2</v>
      </c>
    </row>
    <row r="11" spans="1:33">
      <c r="A11" s="174" t="s">
        <v>141</v>
      </c>
      <c r="B11" s="174">
        <v>800543</v>
      </c>
      <c r="C11" s="170">
        <v>15</v>
      </c>
      <c r="D11" s="164">
        <f t="shared" si="7"/>
        <v>120</v>
      </c>
      <c r="E11" s="165">
        <f t="shared" si="8"/>
        <v>400271.5</v>
      </c>
      <c r="F11" s="165">
        <f t="shared" si="0"/>
        <v>36000</v>
      </c>
      <c r="G11" s="166">
        <v>100000</v>
      </c>
      <c r="H11" s="171"/>
      <c r="I11" s="165">
        <f t="shared" si="15"/>
        <v>0</v>
      </c>
      <c r="J11" s="171">
        <v>3</v>
      </c>
      <c r="K11" s="165">
        <f t="shared" si="9"/>
        <v>17512</v>
      </c>
      <c r="L11" s="171"/>
      <c r="M11" s="168">
        <f t="shared" si="10"/>
        <v>0</v>
      </c>
      <c r="N11" s="173">
        <v>3</v>
      </c>
      <c r="O11" s="168">
        <f t="shared" si="1"/>
        <v>17512</v>
      </c>
      <c r="P11" s="171">
        <v>9</v>
      </c>
      <c r="Q11" s="168">
        <f t="shared" si="2"/>
        <v>60041</v>
      </c>
      <c r="R11" s="167"/>
      <c r="S11" s="168">
        <f t="shared" si="3"/>
        <v>0</v>
      </c>
      <c r="T11" s="167">
        <v>8</v>
      </c>
      <c r="U11" s="168">
        <f t="shared" si="4"/>
        <v>56038</v>
      </c>
      <c r="V11" s="165">
        <f t="shared" si="5"/>
        <v>151103</v>
      </c>
      <c r="W11" s="169"/>
      <c r="X11" s="165">
        <f t="shared" si="11"/>
        <v>687374.5</v>
      </c>
      <c r="Y11" s="165">
        <f t="shared" si="12"/>
        <v>26054.98</v>
      </c>
      <c r="Z11" s="165">
        <f t="shared" si="13"/>
        <v>26054.98</v>
      </c>
      <c r="AA11" s="165">
        <f t="shared" si="16"/>
        <v>0</v>
      </c>
      <c r="AB11" s="166"/>
      <c r="AC11" s="166"/>
      <c r="AD11" s="166"/>
      <c r="AE11" s="166"/>
      <c r="AF11" s="165">
        <f t="shared" si="14"/>
        <v>52109.96</v>
      </c>
      <c r="AG11" s="165">
        <f t="shared" si="6"/>
        <v>635264.54</v>
      </c>
    </row>
    <row r="12" spans="1:33">
      <c r="A12" s="175" t="s">
        <v>142</v>
      </c>
      <c r="B12" s="175">
        <v>1565000</v>
      </c>
      <c r="C12" s="170">
        <v>15</v>
      </c>
      <c r="D12" s="164">
        <f t="shared" si="7"/>
        <v>120</v>
      </c>
      <c r="E12" s="165">
        <f t="shared" si="8"/>
        <v>782500</v>
      </c>
      <c r="F12" s="165">
        <f t="shared" si="0"/>
        <v>0</v>
      </c>
      <c r="G12" s="166"/>
      <c r="H12" s="171">
        <v>4</v>
      </c>
      <c r="I12" s="165">
        <f t="shared" si="15"/>
        <v>32604</v>
      </c>
      <c r="J12" s="171"/>
      <c r="K12" s="165">
        <f t="shared" si="9"/>
        <v>0</v>
      </c>
      <c r="L12" s="171"/>
      <c r="M12" s="168">
        <f t="shared" si="10"/>
        <v>0</v>
      </c>
      <c r="N12" s="173">
        <v>1</v>
      </c>
      <c r="O12" s="168">
        <f t="shared" si="1"/>
        <v>11411</v>
      </c>
      <c r="P12" s="171">
        <v>7</v>
      </c>
      <c r="Q12" s="168">
        <f t="shared" si="2"/>
        <v>91292</v>
      </c>
      <c r="R12" s="167">
        <v>5</v>
      </c>
      <c r="S12" s="168">
        <f t="shared" si="3"/>
        <v>81510</v>
      </c>
      <c r="T12" s="167"/>
      <c r="U12" s="168">
        <f t="shared" si="4"/>
        <v>0</v>
      </c>
      <c r="V12" s="165">
        <f t="shared" si="5"/>
        <v>216817</v>
      </c>
      <c r="W12" s="169"/>
      <c r="X12" s="165">
        <f t="shared" si="11"/>
        <v>999317</v>
      </c>
      <c r="Y12" s="165">
        <f t="shared" si="12"/>
        <v>39972.68</v>
      </c>
      <c r="Z12" s="165">
        <f t="shared" si="13"/>
        <v>39972.68</v>
      </c>
      <c r="AA12" s="165">
        <f t="shared" si="16"/>
        <v>0</v>
      </c>
      <c r="AB12" s="166"/>
      <c r="AC12" s="166"/>
      <c r="AD12" s="166"/>
      <c r="AE12" s="166"/>
      <c r="AF12" s="165">
        <f t="shared" si="14"/>
        <v>79945.36</v>
      </c>
      <c r="AG12" s="165">
        <f t="shared" si="6"/>
        <v>919371.64</v>
      </c>
    </row>
    <row r="13" spans="1:33">
      <c r="A13" s="175" t="s">
        <v>143</v>
      </c>
      <c r="B13" s="175">
        <v>900600</v>
      </c>
      <c r="C13" s="170">
        <v>15</v>
      </c>
      <c r="D13" s="164">
        <f t="shared" si="7"/>
        <v>120</v>
      </c>
      <c r="E13" s="165">
        <f t="shared" si="8"/>
        <v>450300</v>
      </c>
      <c r="F13" s="165">
        <f t="shared" si="0"/>
        <v>36000</v>
      </c>
      <c r="G13" s="166"/>
      <c r="H13" s="171">
        <v>7</v>
      </c>
      <c r="I13" s="165">
        <f t="shared" si="15"/>
        <v>32834</v>
      </c>
      <c r="J13" s="171"/>
      <c r="K13" s="165">
        <f t="shared" si="9"/>
        <v>0</v>
      </c>
      <c r="L13" s="171">
        <v>7</v>
      </c>
      <c r="M13" s="168">
        <f t="shared" si="10"/>
        <v>9194</v>
      </c>
      <c r="N13" s="173">
        <v>5</v>
      </c>
      <c r="O13" s="168">
        <f t="shared" si="1"/>
        <v>32834</v>
      </c>
      <c r="P13" s="171">
        <v>6</v>
      </c>
      <c r="Q13" s="168">
        <f t="shared" si="2"/>
        <v>45030</v>
      </c>
      <c r="R13" s="167"/>
      <c r="S13" s="168">
        <f t="shared" si="3"/>
        <v>0</v>
      </c>
      <c r="T13" s="167">
        <v>9</v>
      </c>
      <c r="U13" s="168">
        <f t="shared" si="4"/>
        <v>70922</v>
      </c>
      <c r="V13" s="165">
        <f t="shared" si="5"/>
        <v>190814</v>
      </c>
      <c r="W13" s="169"/>
      <c r="X13" s="165">
        <f t="shared" si="11"/>
        <v>677114</v>
      </c>
      <c r="Y13" s="165">
        <f t="shared" si="12"/>
        <v>25644.560000000001</v>
      </c>
      <c r="Z13" s="165">
        <f t="shared" si="13"/>
        <v>25644.560000000001</v>
      </c>
      <c r="AA13" s="165">
        <f t="shared" si="16"/>
        <v>0</v>
      </c>
      <c r="AB13" s="166"/>
      <c r="AC13" s="166"/>
      <c r="AD13" s="166"/>
      <c r="AE13" s="166"/>
      <c r="AF13" s="165">
        <f t="shared" si="14"/>
        <v>51289.120000000003</v>
      </c>
      <c r="AG13" s="165">
        <f t="shared" si="6"/>
        <v>625824.88</v>
      </c>
    </row>
    <row r="14" spans="1:33">
      <c r="A14" s="176" t="s">
        <v>144</v>
      </c>
      <c r="B14" s="176">
        <v>850000</v>
      </c>
      <c r="C14" s="170">
        <v>15</v>
      </c>
      <c r="D14" s="164">
        <f t="shared" si="7"/>
        <v>120</v>
      </c>
      <c r="E14" s="165">
        <f t="shared" si="8"/>
        <v>425000</v>
      </c>
      <c r="F14" s="165">
        <f t="shared" si="0"/>
        <v>36000</v>
      </c>
      <c r="G14" s="166"/>
      <c r="H14" s="171">
        <v>8</v>
      </c>
      <c r="I14" s="165">
        <f t="shared" si="15"/>
        <v>35417</v>
      </c>
      <c r="J14" s="171"/>
      <c r="K14" s="165">
        <f t="shared" si="9"/>
        <v>0</v>
      </c>
      <c r="L14" s="171">
        <v>9</v>
      </c>
      <c r="M14" s="168">
        <f t="shared" si="10"/>
        <v>11156</v>
      </c>
      <c r="N14" s="173"/>
      <c r="O14" s="168">
        <f t="shared" si="1"/>
        <v>0</v>
      </c>
      <c r="P14" s="171"/>
      <c r="Q14" s="168">
        <f t="shared" si="2"/>
        <v>0</v>
      </c>
      <c r="R14" s="167">
        <v>3</v>
      </c>
      <c r="S14" s="168">
        <f t="shared" si="3"/>
        <v>26563</v>
      </c>
      <c r="T14" s="167">
        <v>3</v>
      </c>
      <c r="U14" s="168">
        <f t="shared" si="4"/>
        <v>22313</v>
      </c>
      <c r="V14" s="165">
        <f t="shared" si="5"/>
        <v>95449</v>
      </c>
      <c r="W14" s="169"/>
      <c r="X14" s="165">
        <f t="shared" si="11"/>
        <v>556449</v>
      </c>
      <c r="Y14" s="165">
        <f t="shared" si="12"/>
        <v>20817.96</v>
      </c>
      <c r="Z14" s="165">
        <f t="shared" si="13"/>
        <v>20817.96</v>
      </c>
      <c r="AA14" s="165">
        <f t="shared" si="16"/>
        <v>0</v>
      </c>
      <c r="AB14" s="166"/>
      <c r="AC14" s="166"/>
      <c r="AD14" s="166"/>
      <c r="AE14" s="166"/>
      <c r="AF14" s="165">
        <f t="shared" si="14"/>
        <v>41635.919999999998</v>
      </c>
      <c r="AG14" s="165">
        <f t="shared" si="6"/>
        <v>514813.08</v>
      </c>
    </row>
    <row r="15" spans="1:33" ht="15.75" thickBot="1">
      <c r="A15" s="176"/>
      <c r="B15" s="177"/>
      <c r="C15" s="178"/>
      <c r="D15" s="179">
        <f>SUM(D8:D14)</f>
        <v>840</v>
      </c>
      <c r="E15" s="165">
        <f>SUM(E8:E14)</f>
        <v>4906071.5</v>
      </c>
      <c r="F15" s="165">
        <f t="shared" ref="F15:X15" si="17">SUM(F8:F14)</f>
        <v>108000</v>
      </c>
      <c r="G15" s="165">
        <f t="shared" si="17"/>
        <v>400000</v>
      </c>
      <c r="H15" s="173">
        <f t="shared" si="17"/>
        <v>33</v>
      </c>
      <c r="I15" s="165">
        <f>SUM(I8:I14)</f>
        <v>241918</v>
      </c>
      <c r="J15" s="173">
        <f t="shared" si="17"/>
        <v>15</v>
      </c>
      <c r="K15" s="165">
        <f t="shared" si="17"/>
        <v>178163</v>
      </c>
      <c r="L15" s="173">
        <f t="shared" si="17"/>
        <v>32</v>
      </c>
      <c r="M15" s="173">
        <f t="shared" si="17"/>
        <v>63261</v>
      </c>
      <c r="N15" s="173">
        <f t="shared" si="17"/>
        <v>13</v>
      </c>
      <c r="O15" s="173">
        <f t="shared" si="17"/>
        <v>115657</v>
      </c>
      <c r="P15" s="173">
        <f t="shared" si="17"/>
        <v>22</v>
      </c>
      <c r="Q15" s="173">
        <f t="shared" si="17"/>
        <v>196363</v>
      </c>
      <c r="R15" s="173">
        <f t="shared" si="17"/>
        <v>23</v>
      </c>
      <c r="S15" s="173">
        <f t="shared" si="17"/>
        <v>434490</v>
      </c>
      <c r="T15" s="180">
        <f t="shared" si="17"/>
        <v>29</v>
      </c>
      <c r="U15" s="180">
        <f t="shared" si="17"/>
        <v>277758</v>
      </c>
      <c r="V15" s="181">
        <f t="shared" si="17"/>
        <v>1507610</v>
      </c>
      <c r="W15" s="182">
        <f t="shared" si="17"/>
        <v>0</v>
      </c>
      <c r="X15" s="181">
        <f t="shared" si="17"/>
        <v>6921681.5</v>
      </c>
      <c r="Y15" s="165">
        <f>(X15-F15)*4%</f>
        <v>272547.26</v>
      </c>
      <c r="Z15" s="165">
        <f t="shared" si="13"/>
        <v>272547.26</v>
      </c>
      <c r="AA15" s="165">
        <f t="shared" si="16"/>
        <v>0</v>
      </c>
      <c r="AB15" s="166"/>
      <c r="AC15" s="166"/>
      <c r="AD15" s="166"/>
      <c r="AE15" s="166"/>
      <c r="AF15" s="165">
        <f>SUM(AF8:AF14)</f>
        <v>545094.52</v>
      </c>
      <c r="AG15" s="165">
        <f t="shared" si="6"/>
        <v>6376586.9800000004</v>
      </c>
    </row>
    <row r="16" spans="1:33" ht="15.75" thickBot="1">
      <c r="T16" s="324" t="s">
        <v>145</v>
      </c>
      <c r="U16" s="325"/>
      <c r="V16" s="325"/>
      <c r="W16" s="326"/>
      <c r="X16" s="183">
        <f>+X15</f>
        <v>6921681.5</v>
      </c>
      <c r="Y16" s="179">
        <f t="shared" si="12"/>
        <v>276867.26</v>
      </c>
      <c r="Z16" s="165">
        <f t="shared" si="13"/>
        <v>276867.26</v>
      </c>
      <c r="AD16" s="327" t="s">
        <v>146</v>
      </c>
      <c r="AE16" s="328"/>
      <c r="AF16" s="329"/>
      <c r="AG16" s="165">
        <f>SUM(AG8:AG15)</f>
        <v>12753173.960000001</v>
      </c>
    </row>
    <row r="17" spans="1:30" ht="15.75" thickBot="1"/>
    <row r="18" spans="1:30" ht="15.75" thickBot="1">
      <c r="A18" s="296" t="s">
        <v>147</v>
      </c>
      <c r="B18" s="297"/>
      <c r="C18" s="184" t="s">
        <v>86</v>
      </c>
      <c r="F18" s="296" t="s">
        <v>148</v>
      </c>
      <c r="G18" s="298"/>
      <c r="H18" s="298"/>
      <c r="I18" s="297"/>
      <c r="J18" s="299" t="s">
        <v>86</v>
      </c>
      <c r="K18" s="300"/>
      <c r="N18" s="301" t="s">
        <v>149</v>
      </c>
      <c r="O18" s="302"/>
      <c r="P18" s="302"/>
      <c r="Q18" s="302"/>
      <c r="R18" s="302"/>
      <c r="S18" s="302"/>
      <c r="T18" s="302"/>
      <c r="U18" s="303"/>
      <c r="W18" s="304" t="s">
        <v>150</v>
      </c>
      <c r="X18" s="305"/>
      <c r="AD18" s="185"/>
    </row>
    <row r="19" spans="1:30">
      <c r="A19" s="186" t="s">
        <v>151</v>
      </c>
      <c r="B19" s="187">
        <v>0</v>
      </c>
      <c r="C19" s="165">
        <f>(X16-F15)*B19</f>
        <v>0</v>
      </c>
      <c r="F19" s="306" t="s">
        <v>152</v>
      </c>
      <c r="G19" s="306"/>
      <c r="H19" s="307">
        <v>0</v>
      </c>
      <c r="I19" s="308"/>
      <c r="J19" s="333">
        <f>($X$16-$F$15)*H19</f>
        <v>0</v>
      </c>
      <c r="K19" s="334"/>
      <c r="N19" s="188" t="s">
        <v>153</v>
      </c>
      <c r="O19" s="188"/>
      <c r="P19" s="189"/>
      <c r="Q19" s="189"/>
      <c r="R19" s="309">
        <v>8.3333299999999999E-2</v>
      </c>
      <c r="S19" s="310"/>
      <c r="T19" s="311">
        <f>$X$16*R19</f>
        <v>576806.56094394997</v>
      </c>
      <c r="U19" s="312"/>
      <c r="W19" s="190" t="s">
        <v>121</v>
      </c>
      <c r="X19" s="189">
        <v>1.25</v>
      </c>
      <c r="AD19" s="154"/>
    </row>
    <row r="20" spans="1:30">
      <c r="A20" s="191" t="s">
        <v>154</v>
      </c>
      <c r="B20" s="192">
        <v>0</v>
      </c>
      <c r="C20" s="165">
        <f>(X16-F15)*B20</f>
        <v>0</v>
      </c>
      <c r="F20" s="294" t="s">
        <v>155</v>
      </c>
      <c r="G20" s="294"/>
      <c r="H20" s="335">
        <v>0.12</v>
      </c>
      <c r="I20" s="336"/>
      <c r="J20" s="289">
        <f t="shared" ref="J20" si="18">($X$16-$F$15)*H20</f>
        <v>817641.78</v>
      </c>
      <c r="K20" s="290"/>
      <c r="N20" s="193" t="s">
        <v>156</v>
      </c>
      <c r="O20" s="193"/>
      <c r="P20" s="194"/>
      <c r="Q20" s="194"/>
      <c r="R20" s="337">
        <v>0.01</v>
      </c>
      <c r="S20" s="332"/>
      <c r="T20" s="289">
        <f>$X$16*R20</f>
        <v>69216.815000000002</v>
      </c>
      <c r="U20" s="290"/>
      <c r="W20" s="195" t="s">
        <v>122</v>
      </c>
      <c r="X20" s="194">
        <v>1.75</v>
      </c>
      <c r="AD20" s="154"/>
    </row>
    <row r="21" spans="1:30">
      <c r="A21" s="191" t="s">
        <v>157</v>
      </c>
      <c r="B21" s="192">
        <v>0.04</v>
      </c>
      <c r="C21" s="165">
        <f>(X16-F15)*B21</f>
        <v>272547.26</v>
      </c>
      <c r="F21" s="294" t="s">
        <v>158</v>
      </c>
      <c r="G21" s="294"/>
      <c r="H21" s="330">
        <v>5.2199999999999998E-3</v>
      </c>
      <c r="I21" s="330"/>
      <c r="J21" s="289">
        <f>($X$16-$F$15)*H21</f>
        <v>35567.417430000001</v>
      </c>
      <c r="K21" s="290"/>
      <c r="N21" s="193" t="s">
        <v>159</v>
      </c>
      <c r="O21" s="193"/>
      <c r="P21" s="194"/>
      <c r="Q21" s="194"/>
      <c r="R21" s="331">
        <v>8.3333299999999999E-2</v>
      </c>
      <c r="S21" s="332"/>
      <c r="T21" s="289">
        <f>$X$16*R21</f>
        <v>576806.56094394997</v>
      </c>
      <c r="U21" s="290"/>
      <c r="W21" s="195" t="s">
        <v>123</v>
      </c>
      <c r="X21" s="194">
        <v>0.35</v>
      </c>
      <c r="AD21" s="154"/>
    </row>
    <row r="22" spans="1:30">
      <c r="A22" s="191" t="s">
        <v>86</v>
      </c>
      <c r="B22" s="289">
        <f>SUM(C19:C21)</f>
        <v>272547.26</v>
      </c>
      <c r="C22" s="290"/>
      <c r="F22" s="294" t="s">
        <v>86</v>
      </c>
      <c r="G22" s="294"/>
      <c r="H22" s="291">
        <f>SUM(J19:J21)</f>
        <v>853209.19743000006</v>
      </c>
      <c r="I22" s="292"/>
      <c r="J22" s="292"/>
      <c r="K22" s="293"/>
      <c r="N22" s="294" t="s">
        <v>160</v>
      </c>
      <c r="O22" s="294"/>
      <c r="P22" s="294"/>
      <c r="Q22" s="294"/>
      <c r="R22" s="331">
        <v>4.1700000000000001E-2</v>
      </c>
      <c r="S22" s="332"/>
      <c r="T22" s="289">
        <f>($X$16-F15)*R22</f>
        <v>284130.51854999998</v>
      </c>
      <c r="U22" s="290"/>
      <c r="W22" s="195" t="s">
        <v>124</v>
      </c>
      <c r="X22" s="194">
        <v>1.75</v>
      </c>
      <c r="AD22" s="154"/>
    </row>
    <row r="23" spans="1:30">
      <c r="N23" s="294" t="s">
        <v>86</v>
      </c>
      <c r="O23" s="294"/>
      <c r="P23" s="294"/>
      <c r="Q23" s="294"/>
      <c r="R23" s="289">
        <f>SUM(T19:T22)</f>
        <v>1506960.4554378998</v>
      </c>
      <c r="S23" s="295"/>
      <c r="T23" s="295"/>
      <c r="U23" s="290"/>
      <c r="W23" s="195" t="s">
        <v>125</v>
      </c>
      <c r="X23" s="194">
        <v>2</v>
      </c>
      <c r="AD23" s="154"/>
    </row>
    <row r="24" spans="1:30">
      <c r="F24" s="196"/>
      <c r="W24" s="191" t="s">
        <v>126</v>
      </c>
      <c r="X24" s="194">
        <v>2.5</v>
      </c>
      <c r="AD24" s="154"/>
    </row>
    <row r="25" spans="1:30">
      <c r="F25" s="196"/>
      <c r="W25" s="191" t="s">
        <v>127</v>
      </c>
      <c r="X25" s="194">
        <v>2.1</v>
      </c>
      <c r="AD25" s="154"/>
    </row>
  </sheetData>
  <mergeCells count="40">
    <mergeCell ref="T16:W16"/>
    <mergeCell ref="AD16:AF16"/>
    <mergeCell ref="N23:Q23"/>
    <mergeCell ref="F21:G21"/>
    <mergeCell ref="H21:I21"/>
    <mergeCell ref="J21:K21"/>
    <mergeCell ref="R21:S21"/>
    <mergeCell ref="T21:U21"/>
    <mergeCell ref="F22:G22"/>
    <mergeCell ref="R22:S22"/>
    <mergeCell ref="T22:U22"/>
    <mergeCell ref="J19:K19"/>
    <mergeCell ref="F20:G20"/>
    <mergeCell ref="H20:I20"/>
    <mergeCell ref="J20:K20"/>
    <mergeCell ref="R20:S20"/>
    <mergeCell ref="B1:G1"/>
    <mergeCell ref="W1:Y1"/>
    <mergeCell ref="AB1:AC1"/>
    <mergeCell ref="A6:A7"/>
    <mergeCell ref="B6:W6"/>
    <mergeCell ref="Y6:AE6"/>
    <mergeCell ref="B2:G2"/>
    <mergeCell ref="W2:Y2"/>
    <mergeCell ref="AB2:AC2"/>
    <mergeCell ref="B3:G3"/>
    <mergeCell ref="W18:X18"/>
    <mergeCell ref="F19:G19"/>
    <mergeCell ref="H19:I19"/>
    <mergeCell ref="R19:S19"/>
    <mergeCell ref="T19:U19"/>
    <mergeCell ref="B22:C22"/>
    <mergeCell ref="H22:K22"/>
    <mergeCell ref="N22:Q22"/>
    <mergeCell ref="R23:U23"/>
    <mergeCell ref="A18:B18"/>
    <mergeCell ref="F18:I18"/>
    <mergeCell ref="J18:K18"/>
    <mergeCell ref="N18:U18"/>
    <mergeCell ref="T20:U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Prestaciones Sociales YECID </vt:lpstr>
      <vt:lpstr>PRESTACIONES SOCIALES AMANDA LÓ</vt:lpstr>
      <vt:lpstr>INDEMNIZACION FIJO</vt:lpstr>
      <vt:lpstr>INDEMNIZACION INDEFINIDO</vt:lpstr>
      <vt:lpstr> INDEMNIZACION INDEF</vt:lpstr>
      <vt:lpstr>plantilla nomina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Sotello</dc:creator>
  <cp:lastModifiedBy>jua esteban lopez hoyos</cp:lastModifiedBy>
  <cp:lastPrinted>2012-11-28T03:45:29Z</cp:lastPrinted>
  <dcterms:created xsi:type="dcterms:W3CDTF">2012-11-26T01:23:18Z</dcterms:created>
  <dcterms:modified xsi:type="dcterms:W3CDTF">2014-09-10T02:32:02Z</dcterms:modified>
</cp:coreProperties>
</file>